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20" windowHeight="9765" tabRatio="783" activeTab="2"/>
  </bookViews>
  <sheets>
    <sheet name="滞存发生原因代码" sheetId="11" r:id="rId1"/>
    <sheet name="材料进出存季报表" sheetId="12" r:id="rId2"/>
    <sheet name="三个月无异动滞料明细表" sheetId="13" r:id="rId3"/>
    <sheet name="滞料出售损益明细表" sheetId="14" r:id="rId4"/>
  </sheets>
  <definedNames>
    <definedName name="材料编码">OFFEST(#REF!,,,COUNTA(#REF!)-1,1)</definedName>
    <definedName name="供应商编号">OFFSET(#REF!,,,COUNTA(#REF!)-1,1)</definedName>
    <definedName name="供应商名称">OFFSET(#REF!,,,COUNTA(#REF!)-1,1)</definedName>
  </definedNames>
  <calcPr calcId="145621"/>
</workbook>
</file>

<file path=xl/calcChain.xml><?xml version="1.0" encoding="utf-8"?>
<calcChain xmlns="http://schemas.openxmlformats.org/spreadsheetml/2006/main">
  <c r="P12" i="14" l="1"/>
  <c r="P11" i="14"/>
  <c r="P10" i="14"/>
  <c r="P9" i="14"/>
  <c r="P8" i="14"/>
  <c r="P7" i="14"/>
  <c r="K7" i="13" l="1"/>
  <c r="K8" i="13"/>
  <c r="K9" i="13"/>
  <c r="K10" i="13"/>
  <c r="K11" i="13"/>
  <c r="K6" i="13"/>
  <c r="H7" i="13" a="1"/>
  <c r="H7" i="13" s="1"/>
  <c r="H8" i="13" a="1"/>
  <c r="H8" i="13" s="1"/>
  <c r="H9" i="13" a="1"/>
  <c r="H9" i="13" s="1"/>
  <c r="H10" i="13" a="1"/>
  <c r="H10" i="13" s="1"/>
  <c r="H11" i="13" a="1"/>
  <c r="H11" i="13" s="1"/>
  <c r="H6" i="13" a="1"/>
  <c r="H6" i="13" s="1"/>
  <c r="G7" i="13" a="1"/>
  <c r="G7" i="13" s="1"/>
  <c r="M7" i="13" s="1"/>
  <c r="G8" i="13" a="1"/>
  <c r="G8" i="13" s="1"/>
  <c r="G9" i="13" a="1"/>
  <c r="G9" i="13" s="1"/>
  <c r="M9" i="13" s="1"/>
  <c r="G10" i="13" a="1"/>
  <c r="G10" i="13" s="1"/>
  <c r="G11" i="13" a="1"/>
  <c r="G11" i="13" s="1"/>
  <c r="M11" i="13" s="1"/>
  <c r="G6" i="13" a="1"/>
  <c r="G6" i="13" s="1"/>
  <c r="E7" i="13" a="1"/>
  <c r="E7" i="13" s="1"/>
  <c r="E8" i="13" a="1"/>
  <c r="E8" i="13" s="1"/>
  <c r="E9" i="13" a="1"/>
  <c r="E9" i="13" s="1"/>
  <c r="E10" i="13" a="1"/>
  <c r="E10" i="13" s="1"/>
  <c r="E11" i="13" a="1"/>
  <c r="E11" i="13" s="1"/>
  <c r="E6" i="13" a="1"/>
  <c r="E6" i="13" s="1"/>
  <c r="D7" i="13" a="1"/>
  <c r="D7" i="13" s="1"/>
  <c r="D8" i="13" a="1"/>
  <c r="D8" i="13" s="1"/>
  <c r="D9" i="13" a="1"/>
  <c r="D9" i="13" s="1"/>
  <c r="D10" i="13" a="1"/>
  <c r="D10" i="13" s="1"/>
  <c r="D11" i="13" a="1"/>
  <c r="D11" i="13" s="1"/>
  <c r="D6" i="13" a="1"/>
  <c r="D6" i="13" s="1"/>
  <c r="C7" i="13" a="1"/>
  <c r="C7" i="13" s="1"/>
  <c r="C8" i="13" a="1"/>
  <c r="C8" i="13" s="1"/>
  <c r="C9" i="13" a="1"/>
  <c r="C9" i="13" s="1"/>
  <c r="C10" i="13" a="1"/>
  <c r="C10" i="13" s="1"/>
  <c r="C11" i="13" a="1"/>
  <c r="C11" i="13" s="1"/>
  <c r="C6" i="13" a="1"/>
  <c r="C6" i="13" s="1"/>
  <c r="I30" i="12"/>
  <c r="L30" i="12"/>
  <c r="O30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6" i="12"/>
  <c r="K26" i="12"/>
  <c r="K24" i="12"/>
  <c r="K22" i="12"/>
  <c r="K20" i="12"/>
  <c r="K18" i="12"/>
  <c r="K16" i="12"/>
  <c r="K14" i="12"/>
  <c r="K12" i="12"/>
  <c r="K10" i="12"/>
  <c r="K8" i="12"/>
  <c r="K6" i="12"/>
  <c r="I7" i="14" l="1"/>
  <c r="J7" i="14" s="1"/>
  <c r="I8" i="14"/>
  <c r="I10" i="14"/>
  <c r="I12" i="14"/>
  <c r="I9" i="14"/>
  <c r="I11" i="14"/>
  <c r="G7" i="14"/>
  <c r="G8" i="14"/>
  <c r="G10" i="14"/>
  <c r="G12" i="14"/>
  <c r="G9" i="14"/>
  <c r="G11" i="14"/>
  <c r="C8" i="14"/>
  <c r="C10" i="14"/>
  <c r="C12" i="14"/>
  <c r="C9" i="14"/>
  <c r="C11" i="14"/>
  <c r="C7" i="14"/>
  <c r="D8" i="14"/>
  <c r="D10" i="14"/>
  <c r="D12" i="14"/>
  <c r="D9" i="14"/>
  <c r="D11" i="14"/>
  <c r="D7" i="14"/>
  <c r="M8" i="13"/>
  <c r="I8" i="13"/>
  <c r="M6" i="13"/>
  <c r="I6" i="13"/>
  <c r="M10" i="13"/>
  <c r="I10" i="13"/>
  <c r="I7" i="13"/>
  <c r="I9" i="13"/>
  <c r="I11" i="13"/>
  <c r="K28" i="12"/>
  <c r="K30" i="12"/>
  <c r="F3" i="12"/>
  <c r="K7" i="12"/>
  <c r="K11" i="12"/>
  <c r="K15" i="12"/>
  <c r="K19" i="12"/>
  <c r="K23" i="12"/>
  <c r="K27" i="12"/>
  <c r="K9" i="12"/>
  <c r="K13" i="12"/>
  <c r="K17" i="12"/>
  <c r="K21" i="12"/>
  <c r="K25" i="12"/>
  <c r="K29" i="12"/>
  <c r="N9" i="12"/>
  <c r="Q9" i="12"/>
  <c r="N13" i="12"/>
  <c r="Q13" i="12"/>
  <c r="N17" i="12"/>
  <c r="Q17" i="12"/>
  <c r="N21" i="12"/>
  <c r="Q21" i="12"/>
  <c r="N25" i="12"/>
  <c r="Q25" i="12"/>
  <c r="N29" i="12"/>
  <c r="Q29" i="12"/>
  <c r="N7" i="12"/>
  <c r="Q7" i="12"/>
  <c r="N11" i="12"/>
  <c r="Q11" i="12"/>
  <c r="N15" i="12"/>
  <c r="Q15" i="12"/>
  <c r="N19" i="12"/>
  <c r="Q19" i="12"/>
  <c r="Q23" i="12"/>
  <c r="N23" i="12"/>
  <c r="N27" i="12"/>
  <c r="Q27" i="12"/>
  <c r="N7" i="14" l="1"/>
  <c r="N11" i="14"/>
  <c r="J11" i="14"/>
  <c r="N12" i="14"/>
  <c r="J12" i="14"/>
  <c r="N8" i="14"/>
  <c r="J8" i="14"/>
  <c r="N9" i="14"/>
  <c r="J9" i="14"/>
  <c r="N10" i="14"/>
  <c r="J10" i="14"/>
  <c r="M7" i="14"/>
  <c r="Q7" i="14" s="1"/>
  <c r="O7" i="14"/>
  <c r="I3" i="12"/>
  <c r="Q14" i="12"/>
  <c r="N14" i="12"/>
  <c r="Q8" i="12"/>
  <c r="N8" i="12"/>
  <c r="Q28" i="12"/>
  <c r="N28" i="12"/>
  <c r="Q24" i="12"/>
  <c r="N24" i="12"/>
  <c r="Q20" i="12"/>
  <c r="N20" i="12"/>
  <c r="Q16" i="12"/>
  <c r="N16" i="12"/>
  <c r="Q6" i="12"/>
  <c r="N6" i="12"/>
  <c r="Q12" i="12"/>
  <c r="N12" i="12"/>
  <c r="Q30" i="12"/>
  <c r="N30" i="12"/>
  <c r="Q26" i="12"/>
  <c r="N26" i="12"/>
  <c r="Q22" i="12"/>
  <c r="N22" i="12"/>
  <c r="Q18" i="12"/>
  <c r="N18" i="12"/>
  <c r="Q10" i="12"/>
  <c r="N10" i="12"/>
  <c r="M10" i="14" l="1"/>
  <c r="Q10" i="14" s="1"/>
  <c r="O10" i="14"/>
  <c r="M9" i="14"/>
  <c r="Q9" i="14" s="1"/>
  <c r="O9" i="14"/>
  <c r="M8" i="14"/>
  <c r="Q8" i="14" s="1"/>
  <c r="O8" i="14"/>
  <c r="M12" i="14"/>
  <c r="Q12" i="14" s="1"/>
  <c r="O12" i="14"/>
  <c r="O11" i="14"/>
  <c r="M11" i="14"/>
  <c r="Q11" i="14" s="1"/>
  <c r="L3" i="12"/>
  <c r="O3" i="12"/>
</calcChain>
</file>

<file path=xl/sharedStrings.xml><?xml version="1.0" encoding="utf-8"?>
<sst xmlns="http://schemas.openxmlformats.org/spreadsheetml/2006/main" count="230" uniqueCount="150">
  <si>
    <t>材料编码</t>
    <phoneticPr fontId="1" type="noConversion"/>
  </si>
  <si>
    <t>规格型号</t>
    <phoneticPr fontId="1" type="noConversion"/>
  </si>
  <si>
    <t>单位</t>
    <phoneticPr fontId="1" type="noConversion"/>
  </si>
  <si>
    <t>DZ0002</t>
  </si>
  <si>
    <t>DZ0003</t>
  </si>
  <si>
    <t>DZ0004</t>
  </si>
  <si>
    <t>DZ0005</t>
  </si>
  <si>
    <t>DZ0006</t>
  </si>
  <si>
    <t>DR0002</t>
  </si>
  <si>
    <t>DR0003</t>
  </si>
  <si>
    <t>DR0004</t>
  </si>
  <si>
    <t>DR0005</t>
  </si>
  <si>
    <t>DR0006</t>
  </si>
  <si>
    <t>JCK002</t>
  </si>
  <si>
    <t>JCK003</t>
  </si>
  <si>
    <t>AEu8141</t>
  </si>
  <si>
    <t>JCK004</t>
  </si>
  <si>
    <t>JCK005</t>
  </si>
  <si>
    <t>AEu8143</t>
  </si>
  <si>
    <t>JCK006</t>
  </si>
  <si>
    <t>JCK007</t>
  </si>
  <si>
    <t>AEu8145</t>
  </si>
  <si>
    <t>DZ0001</t>
  </si>
  <si>
    <t>DR0001</t>
  </si>
  <si>
    <t>JCK001</t>
  </si>
  <si>
    <t>电阻</t>
  </si>
  <si>
    <t>25Ω</t>
  </si>
  <si>
    <t>支</t>
  </si>
  <si>
    <t>32Ω</t>
  </si>
  <si>
    <t>100Ω</t>
  </si>
  <si>
    <t>320Ω</t>
  </si>
  <si>
    <t>29Ω</t>
  </si>
  <si>
    <t>30Ω</t>
  </si>
  <si>
    <t>电容</t>
  </si>
  <si>
    <t>10F</t>
  </si>
  <si>
    <t>18F</t>
  </si>
  <si>
    <t>50F</t>
  </si>
  <si>
    <t>100F</t>
  </si>
  <si>
    <t>25F</t>
  </si>
  <si>
    <t>0.5F</t>
  </si>
  <si>
    <t>集成块</t>
  </si>
  <si>
    <t>AEu8139</t>
  </si>
  <si>
    <t>AEu8120</t>
  </si>
  <si>
    <t>AEu8152</t>
  </si>
  <si>
    <t>AEu9144</t>
  </si>
  <si>
    <t>滞存发生原因代码</t>
    <phoneticPr fontId="6" type="noConversion"/>
  </si>
  <si>
    <t>原因</t>
    <phoneticPr fontId="6" type="noConversion"/>
  </si>
  <si>
    <t>说明</t>
    <phoneticPr fontId="6" type="noConversion"/>
  </si>
  <si>
    <t>A</t>
    <phoneticPr fontId="6" type="noConversion"/>
  </si>
  <si>
    <t>正常品</t>
    <phoneticPr fontId="6" type="noConversion"/>
  </si>
  <si>
    <t>正常品库存时间超过3个月</t>
    <phoneticPr fontId="6" type="noConversion"/>
  </si>
  <si>
    <t>B</t>
    <phoneticPr fontId="6" type="noConversion"/>
  </si>
  <si>
    <t>正常品库存时间超过3个月但有质变</t>
    <phoneticPr fontId="6" type="noConversion"/>
  </si>
  <si>
    <t>C</t>
    <phoneticPr fontId="6" type="noConversion"/>
  </si>
  <si>
    <t>因质量或其他因素未能出售</t>
    <phoneticPr fontId="6" type="noConversion"/>
  </si>
  <si>
    <t>D</t>
    <phoneticPr fontId="6" type="noConversion"/>
  </si>
  <si>
    <t>次级品</t>
    <phoneticPr fontId="6" type="noConversion"/>
  </si>
  <si>
    <t>每批生产所发生的次级品存储超过3个月</t>
    <phoneticPr fontId="6" type="noConversion"/>
  </si>
  <si>
    <t>E</t>
    <phoneticPr fontId="6" type="noConversion"/>
  </si>
  <si>
    <t>客户取消订单</t>
    <phoneticPr fontId="6" type="noConversion"/>
  </si>
  <si>
    <t>F</t>
    <phoneticPr fontId="6" type="noConversion"/>
  </si>
  <si>
    <t>超制</t>
    <phoneticPr fontId="6" type="noConversion"/>
  </si>
  <si>
    <t>G</t>
    <phoneticPr fontId="6" type="noConversion"/>
  </si>
  <si>
    <t>材料进出存季报表</t>
    <phoneticPr fontId="6" type="noConversion"/>
  </si>
  <si>
    <t>年月：</t>
    <phoneticPr fontId="1" type="noConversion"/>
  </si>
  <si>
    <t>合  计  金  额</t>
    <phoneticPr fontId="6" type="noConversion"/>
  </si>
  <si>
    <t>材料</t>
    <phoneticPr fontId="6" type="noConversion"/>
  </si>
  <si>
    <t>名    称</t>
    <phoneticPr fontId="1" type="noConversion"/>
  </si>
  <si>
    <t>单</t>
    <phoneticPr fontId="6" type="noConversion"/>
  </si>
  <si>
    <r>
      <t>上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年</t>
    </r>
    <r>
      <rPr>
        <b/>
        <sz val="11"/>
        <color theme="1"/>
        <rFont val="宋体"/>
        <family val="1"/>
        <scheme val="minor"/>
      </rPr>
      <t xml:space="preserve"> </t>
    </r>
    <r>
      <rPr>
        <b/>
        <sz val="11"/>
        <color theme="1"/>
        <rFont val="宋体"/>
        <family val="2"/>
        <charset val="134"/>
        <scheme val="minor"/>
      </rPr>
      <t>结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存</t>
    </r>
    <phoneticPr fontId="6" type="noConversion"/>
  </si>
  <si>
    <r>
      <t>本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季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进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货</t>
    </r>
    <phoneticPr fontId="6" type="noConversion"/>
  </si>
  <si>
    <r>
      <t>本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季</t>
    </r>
    <r>
      <rPr>
        <b/>
        <sz val="12"/>
        <rFont val="Times New Roman"/>
        <family val="1"/>
      </rPr>
      <t xml:space="preserve"> </t>
    </r>
    <r>
      <rPr>
        <b/>
        <sz val="11"/>
        <color theme="1"/>
        <rFont val="宋体"/>
        <family val="2"/>
        <charset val="134"/>
        <scheme val="minor"/>
      </rPr>
      <t>出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货</t>
    </r>
    <phoneticPr fontId="6" type="noConversion"/>
  </si>
  <si>
    <r>
      <t>本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季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结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存</t>
    </r>
    <phoneticPr fontId="6" type="noConversion"/>
  </si>
  <si>
    <t>编码</t>
    <phoneticPr fontId="6" type="noConversion"/>
  </si>
  <si>
    <t>类别</t>
    <phoneticPr fontId="6" type="noConversion"/>
  </si>
  <si>
    <t>及规格型号</t>
    <phoneticPr fontId="1" type="noConversion"/>
  </si>
  <si>
    <t>位</t>
    <phoneticPr fontId="6" type="noConversion"/>
  </si>
  <si>
    <t>数量</t>
    <phoneticPr fontId="6" type="noConversion"/>
  </si>
  <si>
    <t>单价</t>
    <phoneticPr fontId="6" type="noConversion"/>
  </si>
  <si>
    <t>金额</t>
    <phoneticPr fontId="6" type="noConversion"/>
  </si>
  <si>
    <t>JCK008</t>
  </si>
  <si>
    <t>AEu8146</t>
  </si>
  <si>
    <t>JCK009</t>
  </si>
  <si>
    <t>AEu8147</t>
  </si>
  <si>
    <t>JCK010</t>
  </si>
  <si>
    <t>AEu8148</t>
  </si>
  <si>
    <t>JCK011</t>
  </si>
  <si>
    <t>AEu8149</t>
  </si>
  <si>
    <t>JCK012</t>
  </si>
  <si>
    <t>AEu8150</t>
  </si>
  <si>
    <t>JCK013</t>
  </si>
  <si>
    <t>AEu8151</t>
  </si>
  <si>
    <t>生产发生次级品</t>
    <phoneticPr fontId="6" type="noConversion"/>
  </si>
  <si>
    <t>质变</t>
    <phoneticPr fontId="6" type="noConversion"/>
  </si>
  <si>
    <t>质量因素</t>
    <phoneticPr fontId="6" type="noConversion"/>
  </si>
  <si>
    <t>单价</t>
    <phoneticPr fontId="6" type="noConversion"/>
  </si>
  <si>
    <t>数量</t>
    <phoneticPr fontId="6" type="noConversion"/>
  </si>
  <si>
    <t>2012年3月～6月</t>
    <phoneticPr fontId="1" type="noConversion"/>
  </si>
  <si>
    <t>三个月无异动</t>
    <phoneticPr fontId="6" type="noConversion"/>
  </si>
  <si>
    <t>三个月无异动滞料明细表</t>
    <phoneticPr fontId="6" type="noConversion"/>
  </si>
  <si>
    <t>材料编号</t>
    <phoneticPr fontId="6" type="noConversion"/>
  </si>
  <si>
    <t>类别</t>
    <phoneticPr fontId="6" type="noConversion"/>
  </si>
  <si>
    <t>名称规格</t>
    <phoneticPr fontId="6" type="noConversion"/>
  </si>
  <si>
    <t>单位</t>
    <phoneticPr fontId="6" type="noConversion"/>
  </si>
  <si>
    <t>最近三个月无异动</t>
    <phoneticPr fontId="6" type="noConversion"/>
  </si>
  <si>
    <t>发生原因</t>
    <phoneticPr fontId="6" type="noConversion"/>
  </si>
  <si>
    <t>拟处理方式</t>
    <phoneticPr fontId="6" type="noConversion"/>
  </si>
  <si>
    <t>处理部门</t>
    <phoneticPr fontId="6" type="noConversion"/>
  </si>
  <si>
    <t>经理批示</t>
    <phoneticPr fontId="6" type="noConversion"/>
  </si>
  <si>
    <t>处理表编号</t>
    <phoneticPr fontId="6" type="noConversion"/>
  </si>
  <si>
    <t>数量</t>
    <phoneticPr fontId="6" type="noConversion"/>
  </si>
  <si>
    <t>单价</t>
    <phoneticPr fontId="6" type="noConversion"/>
  </si>
  <si>
    <t>金额</t>
    <phoneticPr fontId="6" type="noConversion"/>
  </si>
  <si>
    <t>代号</t>
    <phoneticPr fontId="6" type="noConversion"/>
  </si>
  <si>
    <t>说明</t>
    <phoneticPr fontId="6" type="noConversion"/>
  </si>
  <si>
    <t>期限</t>
    <phoneticPr fontId="6" type="noConversion"/>
  </si>
  <si>
    <t>支</t>
    <phoneticPr fontId="6" type="noConversion"/>
  </si>
  <si>
    <t>A</t>
    <phoneticPr fontId="6" type="noConversion"/>
  </si>
  <si>
    <t>B</t>
    <phoneticPr fontId="6" type="noConversion"/>
  </si>
  <si>
    <t>生产部</t>
    <phoneticPr fontId="6" type="noConversion"/>
  </si>
  <si>
    <t>B</t>
    <phoneticPr fontId="6" type="noConversion"/>
  </si>
  <si>
    <t>E</t>
    <phoneticPr fontId="6" type="noConversion"/>
  </si>
  <si>
    <t>生产部</t>
    <phoneticPr fontId="6" type="noConversion"/>
  </si>
  <si>
    <t>E</t>
    <phoneticPr fontId="6" type="noConversion"/>
  </si>
  <si>
    <t>B</t>
    <phoneticPr fontId="6" type="noConversion"/>
  </si>
  <si>
    <t>生产部</t>
    <phoneticPr fontId="6" type="noConversion"/>
  </si>
  <si>
    <t>D</t>
    <phoneticPr fontId="6" type="noConversion"/>
  </si>
  <si>
    <r>
      <t> </t>
    </r>
    <r>
      <rPr>
        <sz val="10"/>
        <rFont val="宋体"/>
        <family val="3"/>
        <charset val="134"/>
      </rPr>
      <t>注：发生原因：按滞料及滞成品处理准则第二条（滞存原因分类代号）之规定填写</t>
    </r>
  </si>
  <si>
    <r>
      <t xml:space="preserve">    拟处理方式 ：A转用</t>
    </r>
    <r>
      <rPr>
        <sz val="10"/>
        <rFont val="Times New Roman"/>
        <family val="1"/>
      </rPr>
      <t>  </t>
    </r>
    <r>
      <rPr>
        <sz val="10"/>
        <rFont val="宋体"/>
        <family val="3"/>
        <charset val="134"/>
      </rPr>
      <t xml:space="preserve"> B出售</t>
    </r>
    <r>
      <rPr>
        <sz val="10"/>
        <rFont val="Times New Roman"/>
        <family val="1"/>
      </rPr>
      <t>  </t>
    </r>
    <r>
      <rPr>
        <sz val="10"/>
        <rFont val="宋体"/>
        <family val="3"/>
        <charset val="134"/>
      </rPr>
      <t xml:space="preserve"> C交核</t>
    </r>
    <r>
      <rPr>
        <sz val="10"/>
        <rFont val="Times New Roman"/>
        <family val="1"/>
      </rPr>
      <t>  </t>
    </r>
    <r>
      <rPr>
        <sz val="10"/>
        <rFont val="宋体"/>
        <family val="3"/>
        <charset val="134"/>
      </rPr>
      <t xml:space="preserve"> D拆用</t>
    </r>
    <r>
      <rPr>
        <sz val="10"/>
        <rFont val="Times New Roman"/>
        <family val="1"/>
      </rPr>
      <t>  </t>
    </r>
    <r>
      <rPr>
        <sz val="10"/>
        <rFont val="宋体"/>
        <family val="3"/>
        <charset val="134"/>
      </rPr>
      <t xml:space="preserve"> E报废</t>
    </r>
    <phoneticPr fontId="6" type="noConversion"/>
  </si>
  <si>
    <t>主管</t>
    <phoneticPr fontId="6" type="noConversion"/>
  </si>
  <si>
    <t>经办</t>
    <phoneticPr fontId="6" type="noConversion"/>
  </si>
  <si>
    <t>滞料出售损益明细表</t>
    <phoneticPr fontId="1" type="noConversion"/>
  </si>
  <si>
    <t>填表日期：</t>
    <phoneticPr fontId="1" type="noConversion"/>
  </si>
  <si>
    <t>类别</t>
    <phoneticPr fontId="1" type="noConversion"/>
  </si>
  <si>
    <t>最后异动日期</t>
    <phoneticPr fontId="1" type="noConversion"/>
  </si>
  <si>
    <t>现有库存数量</t>
    <phoneticPr fontId="1" type="noConversion"/>
  </si>
  <si>
    <t>本月出售数量</t>
    <phoneticPr fontId="1" type="noConversion"/>
  </si>
  <si>
    <t>出售损益</t>
    <phoneticPr fontId="1" type="noConversion"/>
  </si>
  <si>
    <t>单位损益</t>
    <phoneticPr fontId="1" type="noConversion"/>
  </si>
  <si>
    <t>损益总额</t>
    <phoneticPr fontId="1" type="noConversion"/>
  </si>
  <si>
    <t>账面</t>
    <phoneticPr fontId="1" type="noConversion"/>
  </si>
  <si>
    <t>时价</t>
    <phoneticPr fontId="1" type="noConversion"/>
  </si>
  <si>
    <t>售价</t>
    <phoneticPr fontId="1" type="noConversion"/>
  </si>
  <si>
    <t>账面损益</t>
    <phoneticPr fontId="1" type="noConversion"/>
  </si>
  <si>
    <t>售价与时价差异</t>
    <phoneticPr fontId="1" type="noConversion"/>
  </si>
  <si>
    <t>售价与时价差异总额</t>
    <phoneticPr fontId="1" type="noConversion"/>
  </si>
  <si>
    <t>支</t>
    <phoneticPr fontId="1" type="noConversion"/>
  </si>
  <si>
    <t>支</t>
    <phoneticPr fontId="1" type="noConversion"/>
  </si>
  <si>
    <t>支</t>
    <phoneticPr fontId="1" type="noConversion"/>
  </si>
  <si>
    <t>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</si>
</sst>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7" formatCode="0.00_);[Red]\(0.00\)"/>
    <numFmt numFmtId="178" formatCode="0_);[Red]\(0\)"/>
  </numFmts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2"/>
      <name val="Times New Roman"/>
      <family val="1"/>
    </font>
    <font>
      <b/>
      <sz val="10"/>
      <color theme="0"/>
      <name val="宋体"/>
      <family val="3"/>
      <charset val="134"/>
      <scheme val="minor"/>
    </font>
    <font>
      <sz val="12"/>
      <name val="宋体"/>
      <family val="3"/>
      <charset val="134"/>
    </font>
    <font>
      <sz val="24"/>
      <name val="黑体"/>
      <family val="3"/>
      <charset val="134"/>
    </font>
    <font>
      <sz val="12"/>
      <name val="黑体"/>
      <family val="3"/>
      <charset val="134"/>
    </font>
    <font>
      <b/>
      <sz val="11"/>
      <color theme="1"/>
      <name val="宋体"/>
      <family val="1"/>
      <scheme val="minor"/>
    </font>
    <font>
      <b/>
      <u/>
      <sz val="16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u val="double"/>
      <sz val="20"/>
      <name val="华文中宋"/>
      <family val="3"/>
      <charset val="134"/>
    </font>
    <font>
      <b/>
      <u val="doubleAccounting"/>
      <sz val="20"/>
      <color theme="1"/>
      <name val="华文中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2" fillId="0" borderId="0" xfId="2">
      <alignment vertical="center"/>
    </xf>
    <xf numFmtId="0" fontId="9" fillId="0" borderId="0" xfId="2" applyFont="1" applyAlignment="1" applyProtection="1">
      <alignment horizontal="center" vertical="center"/>
      <protection hidden="1"/>
    </xf>
    <xf numFmtId="49" fontId="10" fillId="0" borderId="0" xfId="2" applyNumberFormat="1" applyFont="1" applyBorder="1" applyAlignment="1" applyProtection="1">
      <alignment vertical="center"/>
      <protection hidden="1"/>
    </xf>
    <xf numFmtId="49" fontId="10" fillId="0" borderId="0" xfId="2" applyNumberFormat="1" applyFont="1" applyBorder="1" applyAlignment="1" applyProtection="1">
      <alignment horizontal="right" vertical="center"/>
      <protection hidden="1"/>
    </xf>
    <xf numFmtId="0" fontId="7" fillId="0" borderId="0" xfId="2" applyFont="1">
      <alignment vertical="center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2" xfId="2" applyFont="1" applyBorder="1" applyAlignment="1" applyProtection="1">
      <alignment horizontal="center" vertical="center"/>
      <protection hidden="1"/>
    </xf>
    <xf numFmtId="0" fontId="3" fillId="0" borderId="2" xfId="2" applyFont="1" applyBorder="1" applyAlignment="1" applyProtection="1">
      <alignment horizontal="center" vertical="center" wrapText="1"/>
      <protection hidden="1"/>
    </xf>
    <xf numFmtId="0" fontId="3" fillId="0" borderId="18" xfId="2" applyFont="1" applyBorder="1" applyAlignment="1" applyProtection="1">
      <alignment horizontal="center" vertical="center"/>
      <protection hidden="1"/>
    </xf>
    <xf numFmtId="0" fontId="3" fillId="0" borderId="19" xfId="2" applyFont="1" applyBorder="1" applyAlignment="1" applyProtection="1">
      <alignment horizontal="center" vertical="center"/>
      <protection hidden="1"/>
    </xf>
    <xf numFmtId="0" fontId="3" fillId="0" borderId="20" xfId="2" applyFont="1" applyBorder="1" applyAlignment="1" applyProtection="1">
      <alignment horizontal="center" vertical="center"/>
      <protection hidden="1"/>
    </xf>
    <xf numFmtId="0" fontId="7" fillId="0" borderId="21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2" fontId="8" fillId="0" borderId="11" xfId="2" applyNumberFormat="1" applyFont="1" applyBorder="1" applyAlignment="1">
      <alignment horizontal="center" vertical="center"/>
    </xf>
    <xf numFmtId="177" fontId="8" fillId="0" borderId="22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177" fontId="8" fillId="0" borderId="2" xfId="2" applyNumberFormat="1" applyFont="1" applyBorder="1" applyAlignment="1">
      <alignment horizontal="center" vertical="center"/>
    </xf>
    <xf numFmtId="177" fontId="8" fillId="0" borderId="16" xfId="2" applyNumberFormat="1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177" fontId="8" fillId="0" borderId="24" xfId="2" applyNumberFormat="1" applyFont="1" applyBorder="1" applyAlignment="1">
      <alignment horizontal="center" vertical="center"/>
    </xf>
    <xf numFmtId="177" fontId="8" fillId="0" borderId="25" xfId="2" applyNumberFormat="1" applyFont="1" applyBorder="1" applyAlignment="1">
      <alignment horizontal="center" vertical="center"/>
    </xf>
    <xf numFmtId="177" fontId="2" fillId="0" borderId="0" xfId="2" applyNumberFormat="1">
      <alignment vertical="center"/>
    </xf>
    <xf numFmtId="0" fontId="13" fillId="4" borderId="17" xfId="2" applyFont="1" applyFill="1" applyBorder="1" applyAlignment="1">
      <alignment horizontal="center" vertical="center"/>
    </xf>
    <xf numFmtId="0" fontId="13" fillId="4" borderId="26" xfId="2" applyFont="1" applyFill="1" applyBorder="1" applyAlignment="1">
      <alignment horizontal="center" vertical="center"/>
    </xf>
    <xf numFmtId="0" fontId="3" fillId="0" borderId="19" xfId="2" applyFont="1" applyFill="1" applyBorder="1" applyAlignment="1" applyProtection="1">
      <alignment horizontal="center" vertical="center"/>
      <protection hidden="1"/>
    </xf>
    <xf numFmtId="0" fontId="8" fillId="3" borderId="11" xfId="2" applyFont="1" applyFill="1" applyBorder="1" applyAlignment="1">
      <alignment horizontal="center" vertical="center"/>
    </xf>
    <xf numFmtId="177" fontId="8" fillId="3" borderId="11" xfId="2" applyNumberFormat="1" applyFont="1" applyFill="1" applyBorder="1" applyAlignment="1">
      <alignment horizontal="center" vertical="center"/>
    </xf>
    <xf numFmtId="177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177" fontId="8" fillId="3" borderId="24" xfId="2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5" borderId="0" xfId="0" applyFill="1" applyAlignment="1"/>
    <xf numFmtId="0" fontId="0" fillId="5" borderId="0" xfId="0" applyFill="1">
      <alignment vertical="center"/>
    </xf>
    <xf numFmtId="0" fontId="18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left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14" fontId="10" fillId="5" borderId="1" xfId="0" applyNumberFormat="1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0" fontId="8" fillId="0" borderId="1" xfId="1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5" fillId="0" borderId="0" xfId="2" applyFont="1" applyAlignment="1" applyProtection="1">
      <alignment horizontal="center" vertical="center"/>
      <protection hidden="1"/>
    </xf>
    <xf numFmtId="49" fontId="10" fillId="0" borderId="0" xfId="2" applyNumberFormat="1" applyFont="1" applyBorder="1" applyAlignment="1" applyProtection="1">
      <alignment horizontal="center" vertical="center"/>
      <protection locked="0"/>
    </xf>
    <xf numFmtId="49" fontId="16" fillId="0" borderId="12" xfId="2" applyNumberFormat="1" applyFont="1" applyBorder="1" applyAlignment="1" applyProtection="1">
      <alignment horizontal="center" vertical="center"/>
      <protection hidden="1"/>
    </xf>
    <xf numFmtId="49" fontId="16" fillId="0" borderId="13" xfId="2" applyNumberFormat="1" applyFont="1" applyBorder="1" applyAlignment="1" applyProtection="1">
      <alignment horizontal="center" vertical="center"/>
      <protection hidden="1"/>
    </xf>
    <xf numFmtId="43" fontId="11" fillId="4" borderId="13" xfId="3" applyFont="1" applyFill="1" applyBorder="1" applyAlignment="1" applyProtection="1">
      <alignment horizontal="right" vertical="center"/>
      <protection hidden="1"/>
    </xf>
    <xf numFmtId="43" fontId="11" fillId="4" borderId="14" xfId="3" applyFont="1" applyFill="1" applyBorder="1" applyAlignment="1" applyProtection="1">
      <alignment horizontal="right" vertical="center"/>
      <protection hidden="1"/>
    </xf>
    <xf numFmtId="0" fontId="4" fillId="4" borderId="27" xfId="2" applyFont="1" applyFill="1" applyBorder="1" applyAlignment="1">
      <alignment horizontal="center" vertical="center" wrapText="1"/>
    </xf>
    <xf numFmtId="0" fontId="4" fillId="4" borderId="28" xfId="2" applyFont="1" applyFill="1" applyBorder="1" applyAlignment="1">
      <alignment horizontal="center" vertical="center" wrapText="1"/>
    </xf>
    <xf numFmtId="0" fontId="4" fillId="4" borderId="29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/>
      <protection hidden="1"/>
    </xf>
    <xf numFmtId="0" fontId="12" fillId="0" borderId="2" xfId="2" applyFont="1" applyFill="1" applyBorder="1" applyAlignment="1" applyProtection="1">
      <alignment horizontal="center" vertical="center"/>
      <protection hidden="1"/>
    </xf>
    <xf numFmtId="0" fontId="3" fillId="0" borderId="2" xfId="2" applyFont="1" applyBorder="1" applyAlignment="1" applyProtection="1">
      <alignment horizontal="center" vertical="center"/>
      <protection hidden="1"/>
    </xf>
    <xf numFmtId="0" fontId="12" fillId="0" borderId="2" xfId="2" applyFont="1" applyBorder="1" applyAlignment="1" applyProtection="1">
      <alignment horizontal="center" vertical="center"/>
      <protection hidden="1"/>
    </xf>
    <xf numFmtId="0" fontId="12" fillId="0" borderId="16" xfId="2" applyFont="1" applyBorder="1" applyAlignment="1" applyProtection="1">
      <alignment horizontal="center" vertical="center"/>
      <protection hidden="1"/>
    </xf>
    <xf numFmtId="0" fontId="20" fillId="5" borderId="0" xfId="0" applyFont="1" applyFill="1" applyAlignment="1">
      <alignment horizont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wrapText="1"/>
    </xf>
    <xf numFmtId="0" fontId="9" fillId="5" borderId="0" xfId="0" applyFont="1" applyFill="1" applyBorder="1" applyAlignment="1">
      <alignment horizontal="left" wrapText="1"/>
    </xf>
    <xf numFmtId="0" fontId="10" fillId="5" borderId="0" xfId="0" applyFont="1" applyFill="1" applyBorder="1" applyAlignment="1">
      <alignment horizontal="center" vertical="top" wrapText="1"/>
    </xf>
    <xf numFmtId="0" fontId="10" fillId="5" borderId="0" xfId="0" applyFont="1" applyFill="1" applyAlignment="1">
      <alignment wrapText="1"/>
    </xf>
    <xf numFmtId="0" fontId="0" fillId="5" borderId="0" xfId="0" applyFill="1">
      <alignment vertical="center"/>
    </xf>
    <xf numFmtId="0" fontId="0" fillId="5" borderId="0" xfId="0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</cellXfs>
  <cellStyles count="4">
    <cellStyle name="百分比" xfId="1" builtinId="5"/>
    <cellStyle name="常规" xfId="0" builtinId="0"/>
    <cellStyle name="常规 2" xfId="2"/>
    <cellStyle name="千位分隔 2" xfId="3"/>
  </cellStyles>
  <dxfs count="0"/>
  <tableStyles count="0" defaultTableStyle="TableStyleMedium2" defaultPivotStyle="PivotStyleLight16"/>
  <colors>
    <mruColors>
      <color rgb="FFD9F5F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9" sqref="C19"/>
    </sheetView>
  </sheetViews>
  <sheetFormatPr defaultRowHeight="13.5" x14ac:dyDescent="0.15"/>
  <cols>
    <col min="1" max="2" width="18.875" customWidth="1"/>
    <col min="3" max="3" width="38.25" customWidth="1"/>
  </cols>
  <sheetData>
    <row r="1" spans="1:3" ht="14.25" x14ac:dyDescent="0.15">
      <c r="A1" s="4" t="s">
        <v>45</v>
      </c>
      <c r="B1" s="4" t="s">
        <v>46</v>
      </c>
      <c r="C1" s="4" t="s">
        <v>47</v>
      </c>
    </row>
    <row r="2" spans="1:3" ht="14.25" x14ac:dyDescent="0.15">
      <c r="A2" s="4" t="s">
        <v>48</v>
      </c>
      <c r="B2" s="4" t="s">
        <v>49</v>
      </c>
      <c r="C2" s="4" t="s">
        <v>50</v>
      </c>
    </row>
    <row r="3" spans="1:3" ht="14.25" x14ac:dyDescent="0.15">
      <c r="A3" s="4" t="s">
        <v>51</v>
      </c>
      <c r="B3" s="4" t="s">
        <v>93</v>
      </c>
      <c r="C3" s="4" t="s">
        <v>52</v>
      </c>
    </row>
    <row r="4" spans="1:3" ht="14.25" x14ac:dyDescent="0.15">
      <c r="A4" s="4" t="s">
        <v>53</v>
      </c>
      <c r="B4" s="4" t="s">
        <v>94</v>
      </c>
      <c r="C4" s="4" t="s">
        <v>54</v>
      </c>
    </row>
    <row r="5" spans="1:3" ht="14.25" x14ac:dyDescent="0.15">
      <c r="A5" s="4" t="s">
        <v>55</v>
      </c>
      <c r="B5" s="4" t="s">
        <v>56</v>
      </c>
      <c r="C5" s="4" t="s">
        <v>57</v>
      </c>
    </row>
    <row r="6" spans="1:3" ht="14.25" x14ac:dyDescent="0.15">
      <c r="A6" s="4" t="s">
        <v>58</v>
      </c>
      <c r="B6" s="4" t="s">
        <v>59</v>
      </c>
    </row>
    <row r="7" spans="1:3" ht="14.25" x14ac:dyDescent="0.15">
      <c r="A7" s="4" t="s">
        <v>60</v>
      </c>
      <c r="B7" s="4" t="s">
        <v>61</v>
      </c>
    </row>
    <row r="8" spans="1:3" ht="14.25" x14ac:dyDescent="0.15">
      <c r="A8" s="4" t="s">
        <v>62</v>
      </c>
      <c r="B8" s="4" t="s">
        <v>92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workbookViewId="0">
      <selection activeCell="T23" sqref="T23"/>
    </sheetView>
  </sheetViews>
  <sheetFormatPr defaultRowHeight="13.5" x14ac:dyDescent="0.15"/>
  <cols>
    <col min="1" max="1" width="1.75" style="5" customWidth="1"/>
    <col min="2" max="2" width="8" style="5" customWidth="1"/>
    <col min="3" max="3" width="5" style="5" customWidth="1"/>
    <col min="4" max="4" width="11.125" style="5" customWidth="1"/>
    <col min="5" max="5" width="4.375" style="5" customWidth="1"/>
    <col min="6" max="6" width="7.25" style="5" customWidth="1"/>
    <col min="7" max="7" width="6.75" style="5" customWidth="1"/>
    <col min="8" max="8" width="9.125" style="5" customWidth="1"/>
    <col min="9" max="9" width="7.875" style="5" customWidth="1"/>
    <col min="10" max="10" width="8.125" style="5" customWidth="1"/>
    <col min="11" max="11" width="10.375" style="5" customWidth="1"/>
    <col min="12" max="13" width="9" style="5"/>
    <col min="14" max="14" width="11.5" style="5" customWidth="1"/>
    <col min="15" max="15" width="7.875" style="5" customWidth="1"/>
    <col min="16" max="16" width="7.625" style="5" bestFit="1" customWidth="1"/>
    <col min="17" max="17" width="12.125" style="5" customWidth="1"/>
    <col min="18" max="18" width="8.875" style="5" customWidth="1"/>
    <col min="19" max="16384" width="9" style="5"/>
  </cols>
  <sheetData>
    <row r="1" spans="2:18" ht="31.5" x14ac:dyDescent="0.15">
      <c r="B1" s="81" t="s">
        <v>63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2:18" s="9" customFormat="1" thickBot="1" x14ac:dyDescent="0.2">
      <c r="B2" s="6"/>
      <c r="C2" s="7"/>
      <c r="D2" s="7"/>
      <c r="E2" s="7"/>
      <c r="F2" s="7"/>
      <c r="G2" s="7"/>
      <c r="H2" s="6"/>
      <c r="I2" s="82"/>
      <c r="J2" s="82"/>
      <c r="K2" s="7"/>
      <c r="L2" s="7"/>
      <c r="M2" s="7"/>
      <c r="N2" s="8" t="s">
        <v>64</v>
      </c>
      <c r="O2" s="7" t="s">
        <v>97</v>
      </c>
      <c r="P2" s="7"/>
      <c r="Q2" s="7"/>
    </row>
    <row r="3" spans="2:18" ht="19.5" thickTop="1" x14ac:dyDescent="0.15">
      <c r="B3" s="83" t="s">
        <v>65</v>
      </c>
      <c r="C3" s="84"/>
      <c r="D3" s="84"/>
      <c r="E3" s="84"/>
      <c r="F3" s="85">
        <f>SUBTOTAL(9,H6:H24)</f>
        <v>151724.54999999999</v>
      </c>
      <c r="G3" s="85"/>
      <c r="H3" s="85"/>
      <c r="I3" s="85">
        <f>SUBTOTAL(9,K6:K24)</f>
        <v>1672198.35</v>
      </c>
      <c r="J3" s="85"/>
      <c r="K3" s="85"/>
      <c r="L3" s="85">
        <f>SUBTOTAL(9,N6:N24)</f>
        <v>146726.1</v>
      </c>
      <c r="M3" s="85"/>
      <c r="N3" s="85"/>
      <c r="O3" s="85">
        <f>SUBTOTAL(9,Q6:Q24)</f>
        <v>1677196.7999999998</v>
      </c>
      <c r="P3" s="85"/>
      <c r="Q3" s="86"/>
      <c r="R3" s="87" t="s">
        <v>98</v>
      </c>
    </row>
    <row r="4" spans="2:18" ht="15.75" x14ac:dyDescent="0.15">
      <c r="B4" s="10" t="s">
        <v>66</v>
      </c>
      <c r="C4" s="11" t="s">
        <v>66</v>
      </c>
      <c r="D4" s="11" t="s">
        <v>67</v>
      </c>
      <c r="E4" s="12" t="s">
        <v>68</v>
      </c>
      <c r="F4" s="90" t="s">
        <v>69</v>
      </c>
      <c r="G4" s="91"/>
      <c r="H4" s="91"/>
      <c r="I4" s="92" t="s">
        <v>70</v>
      </c>
      <c r="J4" s="93"/>
      <c r="K4" s="93"/>
      <c r="L4" s="90" t="s">
        <v>71</v>
      </c>
      <c r="M4" s="91"/>
      <c r="N4" s="91"/>
      <c r="O4" s="92" t="s">
        <v>72</v>
      </c>
      <c r="P4" s="93"/>
      <c r="Q4" s="94"/>
      <c r="R4" s="88"/>
    </row>
    <row r="5" spans="2:18" ht="14.25" thickBot="1" x14ac:dyDescent="0.2">
      <c r="B5" s="13" t="s">
        <v>73</v>
      </c>
      <c r="C5" s="14" t="s">
        <v>74</v>
      </c>
      <c r="D5" s="14" t="s">
        <v>75</v>
      </c>
      <c r="E5" s="14" t="s">
        <v>76</v>
      </c>
      <c r="F5" s="33" t="s">
        <v>95</v>
      </c>
      <c r="G5" s="33" t="s">
        <v>96</v>
      </c>
      <c r="H5" s="33" t="s">
        <v>79</v>
      </c>
      <c r="I5" s="14" t="s">
        <v>95</v>
      </c>
      <c r="J5" s="14" t="s">
        <v>96</v>
      </c>
      <c r="K5" s="14" t="s">
        <v>79</v>
      </c>
      <c r="L5" s="33" t="s">
        <v>95</v>
      </c>
      <c r="M5" s="33" t="s">
        <v>96</v>
      </c>
      <c r="N5" s="33" t="s">
        <v>79</v>
      </c>
      <c r="O5" s="14" t="s">
        <v>77</v>
      </c>
      <c r="P5" s="14" t="s">
        <v>78</v>
      </c>
      <c r="Q5" s="15" t="s">
        <v>79</v>
      </c>
      <c r="R5" s="89"/>
    </row>
    <row r="6" spans="2:18" s="20" customFormat="1" ht="12" x14ac:dyDescent="0.15">
      <c r="B6" s="16" t="s">
        <v>22</v>
      </c>
      <c r="C6" s="17" t="s">
        <v>25</v>
      </c>
      <c r="D6" s="17" t="s">
        <v>26</v>
      </c>
      <c r="E6" s="17" t="s">
        <v>27</v>
      </c>
      <c r="F6" s="34">
        <v>0.25</v>
      </c>
      <c r="G6" s="34">
        <v>500</v>
      </c>
      <c r="H6" s="35">
        <f>F6*G6</f>
        <v>125</v>
      </c>
      <c r="I6" s="17">
        <f>F6</f>
        <v>0.25</v>
      </c>
      <c r="J6" s="17">
        <v>15220</v>
      </c>
      <c r="K6" s="18">
        <f>I6*J6</f>
        <v>3805</v>
      </c>
      <c r="L6" s="34">
        <f>F6</f>
        <v>0.25</v>
      </c>
      <c r="M6" s="34">
        <v>5333</v>
      </c>
      <c r="N6" s="35">
        <f>L6*M6</f>
        <v>1333.25</v>
      </c>
      <c r="O6" s="17">
        <f>F6</f>
        <v>0.25</v>
      </c>
      <c r="P6" s="17">
        <f>G6+J6-M6</f>
        <v>10387</v>
      </c>
      <c r="Q6" s="19">
        <f>O6*P6</f>
        <v>2596.75</v>
      </c>
      <c r="R6" s="31">
        <f>IF(AND(J6=0,M6=0),1,0)</f>
        <v>0</v>
      </c>
    </row>
    <row r="7" spans="2:18" s="20" customFormat="1" ht="12" x14ac:dyDescent="0.15">
      <c r="B7" s="21" t="s">
        <v>3</v>
      </c>
      <c r="C7" s="17" t="s">
        <v>25</v>
      </c>
      <c r="D7" s="17" t="s">
        <v>28</v>
      </c>
      <c r="E7" s="17" t="s">
        <v>27</v>
      </c>
      <c r="F7" s="34">
        <v>0.33</v>
      </c>
      <c r="G7" s="34">
        <v>10000</v>
      </c>
      <c r="H7" s="35">
        <f t="shared" ref="H7:H30" si="0">F7*G7</f>
        <v>3300</v>
      </c>
      <c r="I7" s="17">
        <f t="shared" ref="I7:I30" si="1">F7</f>
        <v>0.33</v>
      </c>
      <c r="J7" s="17">
        <v>0</v>
      </c>
      <c r="K7" s="18">
        <f t="shared" ref="K7:K30" si="2">I7*J7</f>
        <v>0</v>
      </c>
      <c r="L7" s="34">
        <f t="shared" ref="L7:L30" si="3">F7</f>
        <v>0.33</v>
      </c>
      <c r="M7" s="34">
        <v>0</v>
      </c>
      <c r="N7" s="35">
        <f t="shared" ref="N7:N30" si="4">L7*M7</f>
        <v>0</v>
      </c>
      <c r="O7" s="17">
        <f t="shared" ref="O7:O30" si="5">F7</f>
        <v>0.33</v>
      </c>
      <c r="P7" s="17">
        <f t="shared" ref="P7:P30" si="6">G7+J7-M7</f>
        <v>10000</v>
      </c>
      <c r="Q7" s="19">
        <f t="shared" ref="Q7:Q30" si="7">O7*P7</f>
        <v>3300</v>
      </c>
      <c r="R7" s="31">
        <f t="shared" ref="R7:R30" si="8">IF(AND(J7=0,M7=0),1,0)</f>
        <v>1</v>
      </c>
    </row>
    <row r="8" spans="2:18" s="20" customFormat="1" ht="12" x14ac:dyDescent="0.15">
      <c r="B8" s="21" t="s">
        <v>4</v>
      </c>
      <c r="C8" s="17" t="s">
        <v>25</v>
      </c>
      <c r="D8" s="17" t="s">
        <v>29</v>
      </c>
      <c r="E8" s="17" t="s">
        <v>27</v>
      </c>
      <c r="F8" s="34">
        <v>0.57999999999999996</v>
      </c>
      <c r="G8" s="34">
        <v>820</v>
      </c>
      <c r="H8" s="35">
        <f t="shared" si="0"/>
        <v>475.59999999999997</v>
      </c>
      <c r="I8" s="17">
        <f t="shared" si="1"/>
        <v>0.57999999999999996</v>
      </c>
      <c r="J8" s="17">
        <v>0</v>
      </c>
      <c r="K8" s="18">
        <f t="shared" si="2"/>
        <v>0</v>
      </c>
      <c r="L8" s="34">
        <f t="shared" si="3"/>
        <v>0.57999999999999996</v>
      </c>
      <c r="M8" s="34">
        <v>0</v>
      </c>
      <c r="N8" s="35">
        <f t="shared" si="4"/>
        <v>0</v>
      </c>
      <c r="O8" s="17">
        <f t="shared" si="5"/>
        <v>0.57999999999999996</v>
      </c>
      <c r="P8" s="17">
        <f t="shared" si="6"/>
        <v>820</v>
      </c>
      <c r="Q8" s="19">
        <f t="shared" si="7"/>
        <v>475.59999999999997</v>
      </c>
      <c r="R8" s="31">
        <f t="shared" si="8"/>
        <v>1</v>
      </c>
    </row>
    <row r="9" spans="2:18" s="20" customFormat="1" ht="12" x14ac:dyDescent="0.15">
      <c r="B9" s="21" t="s">
        <v>5</v>
      </c>
      <c r="C9" s="17" t="s">
        <v>25</v>
      </c>
      <c r="D9" s="17" t="s">
        <v>30</v>
      </c>
      <c r="E9" s="17" t="s">
        <v>27</v>
      </c>
      <c r="F9" s="34">
        <v>0.89</v>
      </c>
      <c r="G9" s="34">
        <v>1560</v>
      </c>
      <c r="H9" s="35">
        <f t="shared" si="0"/>
        <v>1388.4</v>
      </c>
      <c r="I9" s="17">
        <f t="shared" si="1"/>
        <v>0.89</v>
      </c>
      <c r="J9" s="17">
        <v>6750</v>
      </c>
      <c r="K9" s="18">
        <f t="shared" si="2"/>
        <v>6007.5</v>
      </c>
      <c r="L9" s="34">
        <f t="shared" si="3"/>
        <v>0.89</v>
      </c>
      <c r="M9" s="34">
        <v>1290</v>
      </c>
      <c r="N9" s="35">
        <f t="shared" si="4"/>
        <v>1148.0999999999999</v>
      </c>
      <c r="O9" s="17">
        <f t="shared" si="5"/>
        <v>0.89</v>
      </c>
      <c r="P9" s="17">
        <f t="shared" si="6"/>
        <v>7020</v>
      </c>
      <c r="Q9" s="19">
        <f t="shared" si="7"/>
        <v>6247.8</v>
      </c>
      <c r="R9" s="31">
        <f t="shared" si="8"/>
        <v>0</v>
      </c>
    </row>
    <row r="10" spans="2:18" s="20" customFormat="1" ht="12" x14ac:dyDescent="0.15">
      <c r="B10" s="21" t="s">
        <v>6</v>
      </c>
      <c r="C10" s="17" t="s">
        <v>25</v>
      </c>
      <c r="D10" s="17" t="s">
        <v>31</v>
      </c>
      <c r="E10" s="17" t="s">
        <v>27</v>
      </c>
      <c r="F10" s="34">
        <v>0.21</v>
      </c>
      <c r="G10" s="34">
        <v>700</v>
      </c>
      <c r="H10" s="35">
        <f t="shared" si="0"/>
        <v>147</v>
      </c>
      <c r="I10" s="17">
        <f t="shared" si="1"/>
        <v>0.21</v>
      </c>
      <c r="J10" s="17">
        <v>0</v>
      </c>
      <c r="K10" s="18">
        <f t="shared" si="2"/>
        <v>0</v>
      </c>
      <c r="L10" s="34">
        <f t="shared" si="3"/>
        <v>0.21</v>
      </c>
      <c r="M10" s="34">
        <v>50</v>
      </c>
      <c r="N10" s="35">
        <f t="shared" si="4"/>
        <v>10.5</v>
      </c>
      <c r="O10" s="17">
        <f t="shared" si="5"/>
        <v>0.21</v>
      </c>
      <c r="P10" s="17">
        <f t="shared" si="6"/>
        <v>650</v>
      </c>
      <c r="Q10" s="19">
        <f t="shared" si="7"/>
        <v>136.5</v>
      </c>
      <c r="R10" s="31">
        <f t="shared" si="8"/>
        <v>0</v>
      </c>
    </row>
    <row r="11" spans="2:18" s="20" customFormat="1" ht="12" x14ac:dyDescent="0.15">
      <c r="B11" s="21" t="s">
        <v>7</v>
      </c>
      <c r="C11" s="17" t="s">
        <v>25</v>
      </c>
      <c r="D11" s="17" t="s">
        <v>32</v>
      </c>
      <c r="E11" s="17" t="s">
        <v>27</v>
      </c>
      <c r="F11" s="34">
        <v>0.36</v>
      </c>
      <c r="G11" s="34">
        <v>980</v>
      </c>
      <c r="H11" s="35">
        <f t="shared" si="0"/>
        <v>352.8</v>
      </c>
      <c r="I11" s="17">
        <f t="shared" si="1"/>
        <v>0.36</v>
      </c>
      <c r="J11" s="17">
        <v>6980</v>
      </c>
      <c r="K11" s="18">
        <f t="shared" si="2"/>
        <v>2512.7999999999997</v>
      </c>
      <c r="L11" s="34">
        <f t="shared" si="3"/>
        <v>0.36</v>
      </c>
      <c r="M11" s="34">
        <v>235</v>
      </c>
      <c r="N11" s="35">
        <f t="shared" si="4"/>
        <v>84.6</v>
      </c>
      <c r="O11" s="17">
        <f t="shared" si="5"/>
        <v>0.36</v>
      </c>
      <c r="P11" s="17">
        <f t="shared" si="6"/>
        <v>7725</v>
      </c>
      <c r="Q11" s="19">
        <f t="shared" si="7"/>
        <v>2781</v>
      </c>
      <c r="R11" s="31">
        <f t="shared" si="8"/>
        <v>0</v>
      </c>
    </row>
    <row r="12" spans="2:18" s="20" customFormat="1" ht="12" x14ac:dyDescent="0.15">
      <c r="B12" s="21" t="s">
        <v>23</v>
      </c>
      <c r="C12" s="17" t="s">
        <v>33</v>
      </c>
      <c r="D12" s="17" t="s">
        <v>34</v>
      </c>
      <c r="E12" s="17" t="s">
        <v>27</v>
      </c>
      <c r="F12" s="34">
        <v>0.78</v>
      </c>
      <c r="G12" s="34">
        <v>700</v>
      </c>
      <c r="H12" s="35">
        <f t="shared" si="0"/>
        <v>546</v>
      </c>
      <c r="I12" s="17">
        <f t="shared" si="1"/>
        <v>0.78</v>
      </c>
      <c r="J12" s="17">
        <v>2870</v>
      </c>
      <c r="K12" s="18">
        <f t="shared" si="2"/>
        <v>2238.6</v>
      </c>
      <c r="L12" s="34">
        <f t="shared" si="3"/>
        <v>0.78</v>
      </c>
      <c r="M12" s="34">
        <v>210</v>
      </c>
      <c r="N12" s="35">
        <f t="shared" si="4"/>
        <v>163.80000000000001</v>
      </c>
      <c r="O12" s="17">
        <f t="shared" si="5"/>
        <v>0.78</v>
      </c>
      <c r="P12" s="17">
        <f t="shared" si="6"/>
        <v>3360</v>
      </c>
      <c r="Q12" s="19">
        <f t="shared" si="7"/>
        <v>2620.8000000000002</v>
      </c>
      <c r="R12" s="31">
        <f t="shared" si="8"/>
        <v>0</v>
      </c>
    </row>
    <row r="13" spans="2:18" s="20" customFormat="1" ht="12" x14ac:dyDescent="0.15">
      <c r="B13" s="21" t="s">
        <v>8</v>
      </c>
      <c r="C13" s="17" t="s">
        <v>33</v>
      </c>
      <c r="D13" s="17" t="s">
        <v>35</v>
      </c>
      <c r="E13" s="17" t="s">
        <v>27</v>
      </c>
      <c r="F13" s="34">
        <v>0.65</v>
      </c>
      <c r="G13" s="34">
        <v>850</v>
      </c>
      <c r="H13" s="35">
        <f t="shared" si="0"/>
        <v>552.5</v>
      </c>
      <c r="I13" s="17">
        <f t="shared" si="1"/>
        <v>0.65</v>
      </c>
      <c r="J13" s="17">
        <v>4071</v>
      </c>
      <c r="K13" s="18">
        <f t="shared" si="2"/>
        <v>2646.15</v>
      </c>
      <c r="L13" s="34">
        <f t="shared" si="3"/>
        <v>0.65</v>
      </c>
      <c r="M13" s="34">
        <v>123</v>
      </c>
      <c r="N13" s="35">
        <f t="shared" si="4"/>
        <v>79.95</v>
      </c>
      <c r="O13" s="17">
        <f t="shared" si="5"/>
        <v>0.65</v>
      </c>
      <c r="P13" s="17">
        <f t="shared" si="6"/>
        <v>4798</v>
      </c>
      <c r="Q13" s="19">
        <f t="shared" si="7"/>
        <v>3118.7000000000003</v>
      </c>
      <c r="R13" s="31">
        <f t="shared" si="8"/>
        <v>0</v>
      </c>
    </row>
    <row r="14" spans="2:18" s="20" customFormat="1" ht="12" x14ac:dyDescent="0.15">
      <c r="B14" s="21" t="s">
        <v>9</v>
      </c>
      <c r="C14" s="17" t="s">
        <v>33</v>
      </c>
      <c r="D14" s="17" t="s">
        <v>36</v>
      </c>
      <c r="E14" s="17" t="s">
        <v>27</v>
      </c>
      <c r="F14" s="34">
        <v>0.75</v>
      </c>
      <c r="G14" s="34">
        <v>456</v>
      </c>
      <c r="H14" s="35">
        <f t="shared" si="0"/>
        <v>342</v>
      </c>
      <c r="I14" s="17">
        <f t="shared" si="1"/>
        <v>0.75</v>
      </c>
      <c r="J14" s="17">
        <v>9290</v>
      </c>
      <c r="K14" s="18">
        <f t="shared" si="2"/>
        <v>6967.5</v>
      </c>
      <c r="L14" s="34">
        <f t="shared" si="3"/>
        <v>0.75</v>
      </c>
      <c r="M14" s="34">
        <v>534</v>
      </c>
      <c r="N14" s="35">
        <f t="shared" si="4"/>
        <v>400.5</v>
      </c>
      <c r="O14" s="17">
        <f t="shared" si="5"/>
        <v>0.75</v>
      </c>
      <c r="P14" s="17">
        <f t="shared" si="6"/>
        <v>9212</v>
      </c>
      <c r="Q14" s="19">
        <f t="shared" si="7"/>
        <v>6909</v>
      </c>
      <c r="R14" s="31">
        <f t="shared" si="8"/>
        <v>0</v>
      </c>
    </row>
    <row r="15" spans="2:18" s="20" customFormat="1" ht="12" x14ac:dyDescent="0.15">
      <c r="B15" s="21" t="s">
        <v>10</v>
      </c>
      <c r="C15" s="17" t="s">
        <v>33</v>
      </c>
      <c r="D15" s="17" t="s">
        <v>37</v>
      </c>
      <c r="E15" s="17" t="s">
        <v>27</v>
      </c>
      <c r="F15" s="34">
        <v>0.85</v>
      </c>
      <c r="G15" s="34">
        <v>1470</v>
      </c>
      <c r="H15" s="35">
        <f t="shared" si="0"/>
        <v>1249.5</v>
      </c>
      <c r="I15" s="17">
        <f t="shared" si="1"/>
        <v>0.85</v>
      </c>
      <c r="J15" s="17">
        <v>5310</v>
      </c>
      <c r="K15" s="18">
        <f t="shared" si="2"/>
        <v>4513.5</v>
      </c>
      <c r="L15" s="34">
        <f t="shared" si="3"/>
        <v>0.85</v>
      </c>
      <c r="M15" s="34">
        <v>873</v>
      </c>
      <c r="N15" s="35">
        <f t="shared" si="4"/>
        <v>742.05</v>
      </c>
      <c r="O15" s="17">
        <f t="shared" si="5"/>
        <v>0.85</v>
      </c>
      <c r="P15" s="17">
        <f t="shared" si="6"/>
        <v>5907</v>
      </c>
      <c r="Q15" s="19">
        <f t="shared" si="7"/>
        <v>5020.95</v>
      </c>
      <c r="R15" s="31">
        <f t="shared" si="8"/>
        <v>0</v>
      </c>
    </row>
    <row r="16" spans="2:18" s="20" customFormat="1" ht="12" x14ac:dyDescent="0.15">
      <c r="B16" s="21" t="s">
        <v>11</v>
      </c>
      <c r="C16" s="17" t="s">
        <v>33</v>
      </c>
      <c r="D16" s="17" t="s">
        <v>38</v>
      </c>
      <c r="E16" s="17" t="s">
        <v>27</v>
      </c>
      <c r="F16" s="34">
        <v>0.9</v>
      </c>
      <c r="G16" s="34">
        <v>840</v>
      </c>
      <c r="H16" s="35">
        <f t="shared" si="0"/>
        <v>756</v>
      </c>
      <c r="I16" s="17">
        <f t="shared" si="1"/>
        <v>0.9</v>
      </c>
      <c r="J16" s="17">
        <v>7892</v>
      </c>
      <c r="K16" s="18">
        <f t="shared" si="2"/>
        <v>7102.8</v>
      </c>
      <c r="L16" s="34">
        <f t="shared" si="3"/>
        <v>0.9</v>
      </c>
      <c r="M16" s="34">
        <v>641</v>
      </c>
      <c r="N16" s="35">
        <f t="shared" si="4"/>
        <v>576.9</v>
      </c>
      <c r="O16" s="17">
        <f t="shared" si="5"/>
        <v>0.9</v>
      </c>
      <c r="P16" s="17">
        <f t="shared" si="6"/>
        <v>8091</v>
      </c>
      <c r="Q16" s="19">
        <f t="shared" si="7"/>
        <v>7281.9000000000005</v>
      </c>
      <c r="R16" s="31">
        <f t="shared" si="8"/>
        <v>0</v>
      </c>
    </row>
    <row r="17" spans="2:18" s="20" customFormat="1" ht="12" x14ac:dyDescent="0.15">
      <c r="B17" s="21" t="s">
        <v>12</v>
      </c>
      <c r="C17" s="17" t="s">
        <v>33</v>
      </c>
      <c r="D17" s="17" t="s">
        <v>39</v>
      </c>
      <c r="E17" s="17" t="s">
        <v>27</v>
      </c>
      <c r="F17" s="34">
        <v>0.55000000000000004</v>
      </c>
      <c r="G17" s="34">
        <v>521</v>
      </c>
      <c r="H17" s="35">
        <f t="shared" si="0"/>
        <v>286.55</v>
      </c>
      <c r="I17" s="17">
        <f t="shared" si="1"/>
        <v>0.55000000000000004</v>
      </c>
      <c r="J17" s="17">
        <v>7756</v>
      </c>
      <c r="K17" s="18">
        <f t="shared" si="2"/>
        <v>4265.8</v>
      </c>
      <c r="L17" s="34">
        <f t="shared" si="3"/>
        <v>0.55000000000000004</v>
      </c>
      <c r="M17" s="34">
        <v>763</v>
      </c>
      <c r="N17" s="35">
        <f t="shared" si="4"/>
        <v>419.65000000000003</v>
      </c>
      <c r="O17" s="17">
        <f t="shared" si="5"/>
        <v>0.55000000000000004</v>
      </c>
      <c r="P17" s="17">
        <f t="shared" si="6"/>
        <v>7514</v>
      </c>
      <c r="Q17" s="19">
        <f t="shared" si="7"/>
        <v>4132.7000000000007</v>
      </c>
      <c r="R17" s="31">
        <f t="shared" si="8"/>
        <v>0</v>
      </c>
    </row>
    <row r="18" spans="2:18" s="20" customFormat="1" ht="12" x14ac:dyDescent="0.15">
      <c r="B18" s="21" t="s">
        <v>24</v>
      </c>
      <c r="C18" s="17" t="s">
        <v>40</v>
      </c>
      <c r="D18" s="17" t="s">
        <v>41</v>
      </c>
      <c r="E18" s="17" t="s">
        <v>27</v>
      </c>
      <c r="F18" s="34">
        <v>58.5</v>
      </c>
      <c r="G18" s="34">
        <v>146</v>
      </c>
      <c r="H18" s="35">
        <f t="shared" si="0"/>
        <v>8541</v>
      </c>
      <c r="I18" s="17">
        <f t="shared" si="1"/>
        <v>58.5</v>
      </c>
      <c r="J18" s="17">
        <v>10865</v>
      </c>
      <c r="K18" s="18">
        <f t="shared" si="2"/>
        <v>635602.5</v>
      </c>
      <c r="L18" s="34">
        <f t="shared" si="3"/>
        <v>58.5</v>
      </c>
      <c r="M18" s="34">
        <v>355</v>
      </c>
      <c r="N18" s="35">
        <f t="shared" si="4"/>
        <v>20767.5</v>
      </c>
      <c r="O18" s="17">
        <f t="shared" si="5"/>
        <v>58.5</v>
      </c>
      <c r="P18" s="17">
        <f t="shared" si="6"/>
        <v>10656</v>
      </c>
      <c r="Q18" s="19">
        <f t="shared" si="7"/>
        <v>623376</v>
      </c>
      <c r="R18" s="31">
        <f t="shared" si="8"/>
        <v>0</v>
      </c>
    </row>
    <row r="19" spans="2:18" s="20" customFormat="1" ht="12" x14ac:dyDescent="0.15">
      <c r="B19" s="21" t="s">
        <v>13</v>
      </c>
      <c r="C19" s="17" t="s">
        <v>40</v>
      </c>
      <c r="D19" s="17" t="s">
        <v>42</v>
      </c>
      <c r="E19" s="17" t="s">
        <v>27</v>
      </c>
      <c r="F19" s="34">
        <v>75.599999999999994</v>
      </c>
      <c r="G19" s="34">
        <v>300</v>
      </c>
      <c r="H19" s="35">
        <f t="shared" si="0"/>
        <v>22680</v>
      </c>
      <c r="I19" s="17">
        <f t="shared" si="1"/>
        <v>75.599999999999994</v>
      </c>
      <c r="J19" s="17">
        <v>2</v>
      </c>
      <c r="K19" s="18">
        <f t="shared" si="2"/>
        <v>151.19999999999999</v>
      </c>
      <c r="L19" s="34">
        <f t="shared" si="3"/>
        <v>75.599999999999994</v>
      </c>
      <c r="M19" s="34">
        <v>278</v>
      </c>
      <c r="N19" s="35">
        <f t="shared" si="4"/>
        <v>21016.799999999999</v>
      </c>
      <c r="O19" s="17">
        <f t="shared" si="5"/>
        <v>75.599999999999994</v>
      </c>
      <c r="P19" s="17">
        <f t="shared" si="6"/>
        <v>24</v>
      </c>
      <c r="Q19" s="19">
        <f t="shared" si="7"/>
        <v>1814.3999999999999</v>
      </c>
      <c r="R19" s="31">
        <f t="shared" si="8"/>
        <v>0</v>
      </c>
    </row>
    <row r="20" spans="2:18" s="20" customFormat="1" ht="12" x14ac:dyDescent="0.15">
      <c r="B20" s="21" t="s">
        <v>14</v>
      </c>
      <c r="C20" s="17" t="s">
        <v>40</v>
      </c>
      <c r="D20" s="17" t="s">
        <v>15</v>
      </c>
      <c r="E20" s="17" t="s">
        <v>27</v>
      </c>
      <c r="F20" s="34">
        <v>124.85</v>
      </c>
      <c r="G20" s="34">
        <v>452</v>
      </c>
      <c r="H20" s="35">
        <f t="shared" si="0"/>
        <v>56432.2</v>
      </c>
      <c r="I20" s="17">
        <f t="shared" si="1"/>
        <v>124.85</v>
      </c>
      <c r="J20" s="17">
        <v>0</v>
      </c>
      <c r="K20" s="18">
        <f t="shared" si="2"/>
        <v>0</v>
      </c>
      <c r="L20" s="34">
        <f t="shared" si="3"/>
        <v>124.85</v>
      </c>
      <c r="M20" s="34">
        <v>0</v>
      </c>
      <c r="N20" s="35">
        <f t="shared" si="4"/>
        <v>0</v>
      </c>
      <c r="O20" s="17">
        <f t="shared" si="5"/>
        <v>124.85</v>
      </c>
      <c r="P20" s="17">
        <f t="shared" si="6"/>
        <v>452</v>
      </c>
      <c r="Q20" s="19">
        <f t="shared" si="7"/>
        <v>56432.2</v>
      </c>
      <c r="R20" s="31">
        <f t="shared" si="8"/>
        <v>1</v>
      </c>
    </row>
    <row r="21" spans="2:18" s="20" customFormat="1" ht="12" x14ac:dyDescent="0.15">
      <c r="B21" s="21" t="s">
        <v>16</v>
      </c>
      <c r="C21" s="17" t="s">
        <v>40</v>
      </c>
      <c r="D21" s="17" t="s">
        <v>43</v>
      </c>
      <c r="E21" s="17" t="s">
        <v>27</v>
      </c>
      <c r="F21" s="34">
        <v>320</v>
      </c>
      <c r="G21" s="34">
        <v>125</v>
      </c>
      <c r="H21" s="35">
        <f t="shared" si="0"/>
        <v>40000</v>
      </c>
      <c r="I21" s="17">
        <f t="shared" si="1"/>
        <v>320</v>
      </c>
      <c r="J21" s="17">
        <v>10</v>
      </c>
      <c r="K21" s="18">
        <f t="shared" si="2"/>
        <v>3200</v>
      </c>
      <c r="L21" s="34">
        <f t="shared" si="3"/>
        <v>320</v>
      </c>
      <c r="M21" s="34">
        <v>106</v>
      </c>
      <c r="N21" s="35">
        <f t="shared" si="4"/>
        <v>33920</v>
      </c>
      <c r="O21" s="17">
        <f t="shared" si="5"/>
        <v>320</v>
      </c>
      <c r="P21" s="17">
        <f t="shared" si="6"/>
        <v>29</v>
      </c>
      <c r="Q21" s="19">
        <f t="shared" si="7"/>
        <v>9280</v>
      </c>
      <c r="R21" s="31">
        <f t="shared" si="8"/>
        <v>0</v>
      </c>
    </row>
    <row r="22" spans="2:18" s="20" customFormat="1" ht="12" x14ac:dyDescent="0.15">
      <c r="B22" s="21" t="s">
        <v>17</v>
      </c>
      <c r="C22" s="17" t="s">
        <v>40</v>
      </c>
      <c r="D22" s="17" t="s">
        <v>18</v>
      </c>
      <c r="E22" s="17" t="s">
        <v>27</v>
      </c>
      <c r="F22" s="34">
        <v>70</v>
      </c>
      <c r="G22" s="34">
        <v>41</v>
      </c>
      <c r="H22" s="35">
        <f t="shared" si="0"/>
        <v>2870</v>
      </c>
      <c r="I22" s="17">
        <f t="shared" si="1"/>
        <v>70</v>
      </c>
      <c r="J22" s="17">
        <v>0</v>
      </c>
      <c r="K22" s="18">
        <f t="shared" si="2"/>
        <v>0</v>
      </c>
      <c r="L22" s="34">
        <f t="shared" si="3"/>
        <v>70</v>
      </c>
      <c r="M22" s="34">
        <v>0</v>
      </c>
      <c r="N22" s="35">
        <f t="shared" si="4"/>
        <v>0</v>
      </c>
      <c r="O22" s="17">
        <f t="shared" si="5"/>
        <v>70</v>
      </c>
      <c r="P22" s="17">
        <f t="shared" si="6"/>
        <v>41</v>
      </c>
      <c r="Q22" s="19">
        <f t="shared" si="7"/>
        <v>2870</v>
      </c>
      <c r="R22" s="31">
        <f t="shared" si="8"/>
        <v>1</v>
      </c>
    </row>
    <row r="23" spans="2:18" s="20" customFormat="1" ht="12" x14ac:dyDescent="0.15">
      <c r="B23" s="21" t="s">
        <v>19</v>
      </c>
      <c r="C23" s="17" t="s">
        <v>40</v>
      </c>
      <c r="D23" s="17" t="s">
        <v>44</v>
      </c>
      <c r="E23" s="17" t="s">
        <v>27</v>
      </c>
      <c r="F23" s="34">
        <v>185</v>
      </c>
      <c r="G23" s="34">
        <v>23</v>
      </c>
      <c r="H23" s="35">
        <f t="shared" si="0"/>
        <v>4255</v>
      </c>
      <c r="I23" s="17">
        <f t="shared" si="1"/>
        <v>185</v>
      </c>
      <c r="J23" s="17">
        <v>1801</v>
      </c>
      <c r="K23" s="18">
        <f t="shared" si="2"/>
        <v>333185</v>
      </c>
      <c r="L23" s="34">
        <f t="shared" si="3"/>
        <v>185</v>
      </c>
      <c r="M23" s="34">
        <v>65</v>
      </c>
      <c r="N23" s="35">
        <f t="shared" si="4"/>
        <v>12025</v>
      </c>
      <c r="O23" s="17">
        <f t="shared" si="5"/>
        <v>185</v>
      </c>
      <c r="P23" s="17">
        <f t="shared" si="6"/>
        <v>1759</v>
      </c>
      <c r="Q23" s="19">
        <f t="shared" si="7"/>
        <v>325415</v>
      </c>
      <c r="R23" s="31">
        <f t="shared" si="8"/>
        <v>0</v>
      </c>
    </row>
    <row r="24" spans="2:18" s="20" customFormat="1" ht="12" x14ac:dyDescent="0.15">
      <c r="B24" s="21" t="s">
        <v>20</v>
      </c>
      <c r="C24" s="17" t="s">
        <v>40</v>
      </c>
      <c r="D24" s="17" t="s">
        <v>21</v>
      </c>
      <c r="E24" s="17" t="s">
        <v>27</v>
      </c>
      <c r="F24" s="34">
        <v>412.5</v>
      </c>
      <c r="G24" s="34">
        <v>18</v>
      </c>
      <c r="H24" s="35">
        <f t="shared" si="0"/>
        <v>7425</v>
      </c>
      <c r="I24" s="17">
        <f t="shared" si="1"/>
        <v>412.5</v>
      </c>
      <c r="J24" s="17">
        <v>1600</v>
      </c>
      <c r="K24" s="18">
        <f t="shared" si="2"/>
        <v>660000</v>
      </c>
      <c r="L24" s="34">
        <f t="shared" si="3"/>
        <v>412.5</v>
      </c>
      <c r="M24" s="34">
        <v>131</v>
      </c>
      <c r="N24" s="35">
        <f t="shared" si="4"/>
        <v>54037.5</v>
      </c>
      <c r="O24" s="17">
        <f t="shared" si="5"/>
        <v>412.5</v>
      </c>
      <c r="P24" s="17">
        <f t="shared" si="6"/>
        <v>1487</v>
      </c>
      <c r="Q24" s="19">
        <f t="shared" si="7"/>
        <v>613387.5</v>
      </c>
      <c r="R24" s="31">
        <f t="shared" si="8"/>
        <v>0</v>
      </c>
    </row>
    <row r="25" spans="2:18" s="20" customFormat="1" ht="12" x14ac:dyDescent="0.15">
      <c r="B25" s="21" t="s">
        <v>80</v>
      </c>
      <c r="C25" s="17" t="s">
        <v>40</v>
      </c>
      <c r="D25" s="17" t="s">
        <v>81</v>
      </c>
      <c r="E25" s="17" t="s">
        <v>27</v>
      </c>
      <c r="F25" s="34">
        <v>58</v>
      </c>
      <c r="G25" s="34">
        <v>2</v>
      </c>
      <c r="H25" s="35">
        <f t="shared" si="0"/>
        <v>116</v>
      </c>
      <c r="I25" s="17">
        <f t="shared" si="1"/>
        <v>58</v>
      </c>
      <c r="J25" s="22">
        <v>200</v>
      </c>
      <c r="K25" s="18">
        <f t="shared" si="2"/>
        <v>11600</v>
      </c>
      <c r="L25" s="34">
        <f t="shared" si="3"/>
        <v>58</v>
      </c>
      <c r="M25" s="34">
        <v>5</v>
      </c>
      <c r="N25" s="35">
        <f t="shared" si="4"/>
        <v>290</v>
      </c>
      <c r="O25" s="17">
        <f t="shared" si="5"/>
        <v>58</v>
      </c>
      <c r="P25" s="17">
        <f t="shared" si="6"/>
        <v>197</v>
      </c>
      <c r="Q25" s="19">
        <f t="shared" si="7"/>
        <v>11426</v>
      </c>
      <c r="R25" s="31">
        <f t="shared" si="8"/>
        <v>0</v>
      </c>
    </row>
    <row r="26" spans="2:18" s="20" customFormat="1" ht="12" x14ac:dyDescent="0.15">
      <c r="B26" s="21" t="s">
        <v>82</v>
      </c>
      <c r="C26" s="17" t="s">
        <v>40</v>
      </c>
      <c r="D26" s="17" t="s">
        <v>83</v>
      </c>
      <c r="E26" s="17" t="s">
        <v>27</v>
      </c>
      <c r="F26" s="36">
        <v>70</v>
      </c>
      <c r="G26" s="34">
        <v>200</v>
      </c>
      <c r="H26" s="35">
        <f t="shared" si="0"/>
        <v>14000</v>
      </c>
      <c r="I26" s="17">
        <f t="shared" si="1"/>
        <v>70</v>
      </c>
      <c r="J26" s="22">
        <v>0</v>
      </c>
      <c r="K26" s="18">
        <f t="shared" si="2"/>
        <v>0</v>
      </c>
      <c r="L26" s="34">
        <f t="shared" si="3"/>
        <v>70</v>
      </c>
      <c r="M26" s="37">
        <v>20</v>
      </c>
      <c r="N26" s="35">
        <f t="shared" si="4"/>
        <v>1400</v>
      </c>
      <c r="O26" s="17">
        <f t="shared" si="5"/>
        <v>70</v>
      </c>
      <c r="P26" s="17">
        <f t="shared" si="6"/>
        <v>180</v>
      </c>
      <c r="Q26" s="19">
        <f t="shared" si="7"/>
        <v>12600</v>
      </c>
      <c r="R26" s="31">
        <f t="shared" si="8"/>
        <v>0</v>
      </c>
    </row>
    <row r="27" spans="2:18" s="20" customFormat="1" ht="12" x14ac:dyDescent="0.15">
      <c r="B27" s="21" t="s">
        <v>84</v>
      </c>
      <c r="C27" s="17" t="s">
        <v>40</v>
      </c>
      <c r="D27" s="17" t="s">
        <v>85</v>
      </c>
      <c r="E27" s="17" t="s">
        <v>27</v>
      </c>
      <c r="F27" s="36">
        <v>15.8</v>
      </c>
      <c r="G27" s="37">
        <v>200</v>
      </c>
      <c r="H27" s="35">
        <f t="shared" si="0"/>
        <v>3160</v>
      </c>
      <c r="I27" s="17">
        <f t="shared" si="1"/>
        <v>15.8</v>
      </c>
      <c r="J27" s="22">
        <v>0</v>
      </c>
      <c r="K27" s="18">
        <f t="shared" si="2"/>
        <v>0</v>
      </c>
      <c r="L27" s="34">
        <f t="shared" si="3"/>
        <v>15.8</v>
      </c>
      <c r="M27" s="37">
        <v>0</v>
      </c>
      <c r="N27" s="35">
        <f t="shared" si="4"/>
        <v>0</v>
      </c>
      <c r="O27" s="17">
        <f t="shared" si="5"/>
        <v>15.8</v>
      </c>
      <c r="P27" s="17">
        <f t="shared" si="6"/>
        <v>200</v>
      </c>
      <c r="Q27" s="19">
        <f t="shared" si="7"/>
        <v>3160</v>
      </c>
      <c r="R27" s="31">
        <f t="shared" si="8"/>
        <v>1</v>
      </c>
    </row>
    <row r="28" spans="2:18" s="20" customFormat="1" ht="12" x14ac:dyDescent="0.15">
      <c r="B28" s="21" t="s">
        <v>86</v>
      </c>
      <c r="C28" s="17" t="s">
        <v>40</v>
      </c>
      <c r="D28" s="17" t="s">
        <v>87</v>
      </c>
      <c r="E28" s="17" t="s">
        <v>27</v>
      </c>
      <c r="F28" s="36">
        <v>17.2</v>
      </c>
      <c r="G28" s="37">
        <v>52</v>
      </c>
      <c r="H28" s="35">
        <f t="shared" si="0"/>
        <v>894.4</v>
      </c>
      <c r="I28" s="17">
        <f t="shared" si="1"/>
        <v>17.2</v>
      </c>
      <c r="J28" s="22">
        <v>20</v>
      </c>
      <c r="K28" s="18">
        <f t="shared" si="2"/>
        <v>344</v>
      </c>
      <c r="L28" s="34">
        <f t="shared" si="3"/>
        <v>17.2</v>
      </c>
      <c r="M28" s="37">
        <v>50</v>
      </c>
      <c r="N28" s="35">
        <f t="shared" si="4"/>
        <v>860</v>
      </c>
      <c r="O28" s="17">
        <f t="shared" si="5"/>
        <v>17.2</v>
      </c>
      <c r="P28" s="17">
        <f t="shared" si="6"/>
        <v>22</v>
      </c>
      <c r="Q28" s="19">
        <f t="shared" si="7"/>
        <v>378.4</v>
      </c>
      <c r="R28" s="31">
        <f t="shared" si="8"/>
        <v>0</v>
      </c>
    </row>
    <row r="29" spans="2:18" s="20" customFormat="1" ht="12" x14ac:dyDescent="0.15">
      <c r="B29" s="21" t="s">
        <v>88</v>
      </c>
      <c r="C29" s="17" t="s">
        <v>40</v>
      </c>
      <c r="D29" s="17" t="s">
        <v>89</v>
      </c>
      <c r="E29" s="17" t="s">
        <v>27</v>
      </c>
      <c r="F29" s="36">
        <v>16.3</v>
      </c>
      <c r="G29" s="37">
        <v>13</v>
      </c>
      <c r="H29" s="35">
        <f t="shared" si="0"/>
        <v>211.9</v>
      </c>
      <c r="I29" s="17">
        <f t="shared" si="1"/>
        <v>16.3</v>
      </c>
      <c r="J29" s="22">
        <v>50</v>
      </c>
      <c r="K29" s="18">
        <f t="shared" si="2"/>
        <v>815</v>
      </c>
      <c r="L29" s="34">
        <f t="shared" si="3"/>
        <v>16.3</v>
      </c>
      <c r="M29" s="37">
        <v>3</v>
      </c>
      <c r="N29" s="35">
        <f t="shared" si="4"/>
        <v>48.900000000000006</v>
      </c>
      <c r="O29" s="17">
        <f t="shared" si="5"/>
        <v>16.3</v>
      </c>
      <c r="P29" s="17">
        <f t="shared" si="6"/>
        <v>60</v>
      </c>
      <c r="Q29" s="19">
        <f t="shared" si="7"/>
        <v>978</v>
      </c>
      <c r="R29" s="31">
        <f t="shared" si="8"/>
        <v>0</v>
      </c>
    </row>
    <row r="30" spans="2:18" s="20" customFormat="1" ht="12" x14ac:dyDescent="0.15">
      <c r="B30" s="21" t="s">
        <v>90</v>
      </c>
      <c r="C30" s="17" t="s">
        <v>40</v>
      </c>
      <c r="D30" s="17" t="s">
        <v>91</v>
      </c>
      <c r="E30" s="17" t="s">
        <v>27</v>
      </c>
      <c r="F30" s="36">
        <v>20</v>
      </c>
      <c r="G30" s="37">
        <v>33</v>
      </c>
      <c r="H30" s="35">
        <f t="shared" si="0"/>
        <v>660</v>
      </c>
      <c r="I30" s="17">
        <f t="shared" si="1"/>
        <v>20</v>
      </c>
      <c r="J30" s="22">
        <v>0</v>
      </c>
      <c r="K30" s="18">
        <f t="shared" si="2"/>
        <v>0</v>
      </c>
      <c r="L30" s="34">
        <f t="shared" si="3"/>
        <v>20</v>
      </c>
      <c r="M30" s="37">
        <v>0</v>
      </c>
      <c r="N30" s="35">
        <f t="shared" si="4"/>
        <v>0</v>
      </c>
      <c r="O30" s="17">
        <f t="shared" si="5"/>
        <v>20</v>
      </c>
      <c r="P30" s="17">
        <f t="shared" si="6"/>
        <v>33</v>
      </c>
      <c r="Q30" s="19">
        <f t="shared" si="7"/>
        <v>660</v>
      </c>
      <c r="R30" s="31">
        <f t="shared" si="8"/>
        <v>1</v>
      </c>
    </row>
    <row r="31" spans="2:18" s="20" customFormat="1" ht="12" x14ac:dyDescent="0.15">
      <c r="B31" s="23"/>
      <c r="C31" s="22"/>
      <c r="D31" s="22"/>
      <c r="E31" s="22"/>
      <c r="F31" s="37"/>
      <c r="G31" s="36"/>
      <c r="H31" s="36"/>
      <c r="I31" s="22"/>
      <c r="J31" s="22"/>
      <c r="K31" s="18"/>
      <c r="L31" s="37"/>
      <c r="M31" s="37"/>
      <c r="N31" s="35"/>
      <c r="O31" s="22"/>
      <c r="P31" s="24"/>
      <c r="Q31" s="19"/>
      <c r="R31" s="31"/>
    </row>
    <row r="32" spans="2:18" s="20" customFormat="1" ht="12" x14ac:dyDescent="0.15">
      <c r="B32" s="23"/>
      <c r="C32" s="22"/>
      <c r="D32" s="22"/>
      <c r="E32" s="22"/>
      <c r="F32" s="37"/>
      <c r="G32" s="36"/>
      <c r="H32" s="36"/>
      <c r="I32" s="22"/>
      <c r="J32" s="22"/>
      <c r="K32" s="22"/>
      <c r="L32" s="37"/>
      <c r="M32" s="36"/>
      <c r="N32" s="36"/>
      <c r="O32" s="22"/>
      <c r="P32" s="24"/>
      <c r="Q32" s="25"/>
      <c r="R32" s="31"/>
    </row>
    <row r="33" spans="2:18" s="20" customFormat="1" ht="12" x14ac:dyDescent="0.15">
      <c r="B33" s="23"/>
      <c r="C33" s="22"/>
      <c r="D33" s="22"/>
      <c r="E33" s="22"/>
      <c r="F33" s="37"/>
      <c r="G33" s="36"/>
      <c r="H33" s="36"/>
      <c r="I33" s="22"/>
      <c r="J33" s="22"/>
      <c r="K33" s="22"/>
      <c r="L33" s="37"/>
      <c r="M33" s="36"/>
      <c r="N33" s="36"/>
      <c r="O33" s="22"/>
      <c r="P33" s="24"/>
      <c r="Q33" s="25"/>
      <c r="R33" s="31"/>
    </row>
    <row r="34" spans="2:18" s="20" customFormat="1" ht="12" x14ac:dyDescent="0.15">
      <c r="B34" s="23"/>
      <c r="C34" s="22"/>
      <c r="D34" s="22"/>
      <c r="E34" s="22"/>
      <c r="F34" s="37"/>
      <c r="G34" s="36"/>
      <c r="H34" s="36"/>
      <c r="I34" s="22"/>
      <c r="J34" s="22"/>
      <c r="K34" s="22"/>
      <c r="L34" s="37"/>
      <c r="M34" s="36"/>
      <c r="N34" s="36"/>
      <c r="O34" s="22"/>
      <c r="P34" s="24"/>
      <c r="Q34" s="25"/>
      <c r="R34" s="31"/>
    </row>
    <row r="35" spans="2:18" s="20" customFormat="1" ht="12" x14ac:dyDescent="0.15">
      <c r="B35" s="23"/>
      <c r="C35" s="22"/>
      <c r="D35" s="22"/>
      <c r="E35" s="22"/>
      <c r="F35" s="37"/>
      <c r="G35" s="36"/>
      <c r="H35" s="36"/>
      <c r="I35" s="22"/>
      <c r="J35" s="22"/>
      <c r="K35" s="22"/>
      <c r="L35" s="37"/>
      <c r="M35" s="36"/>
      <c r="N35" s="36"/>
      <c r="O35" s="22"/>
      <c r="P35" s="24"/>
      <c r="Q35" s="25"/>
      <c r="R35" s="31"/>
    </row>
    <row r="36" spans="2:18" s="20" customFormat="1" ht="12.75" thickBot="1" x14ac:dyDescent="0.2">
      <c r="B36" s="26"/>
      <c r="C36" s="27"/>
      <c r="D36" s="27"/>
      <c r="E36" s="27"/>
      <c r="F36" s="38"/>
      <c r="G36" s="39"/>
      <c r="H36" s="39"/>
      <c r="I36" s="27"/>
      <c r="J36" s="27"/>
      <c r="K36" s="27"/>
      <c r="L36" s="38"/>
      <c r="M36" s="39"/>
      <c r="N36" s="39"/>
      <c r="O36" s="27"/>
      <c r="P36" s="28"/>
      <c r="Q36" s="29"/>
      <c r="R36" s="32"/>
    </row>
    <row r="37" spans="2:18" ht="14.25" thickTop="1" x14ac:dyDescent="0.15">
      <c r="M37" s="30"/>
      <c r="N37" s="30"/>
    </row>
  </sheetData>
  <mergeCells count="12">
    <mergeCell ref="R3:R5"/>
    <mergeCell ref="F4:H4"/>
    <mergeCell ref="I4:K4"/>
    <mergeCell ref="L4:N4"/>
    <mergeCell ref="O4:Q4"/>
    <mergeCell ref="B1:Q1"/>
    <mergeCell ref="I2:J2"/>
    <mergeCell ref="B3:E3"/>
    <mergeCell ref="F3:H3"/>
    <mergeCell ref="I3:K3"/>
    <mergeCell ref="L3:N3"/>
    <mergeCell ref="O3:Q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tabSelected="1" workbookViewId="0">
      <selection activeCell="G6" sqref="G6"/>
    </sheetView>
  </sheetViews>
  <sheetFormatPr defaultRowHeight="13.5" x14ac:dyDescent="0.15"/>
  <cols>
    <col min="1" max="1" width="8.25" customWidth="1"/>
    <col min="2" max="2" width="9" hidden="1" customWidth="1"/>
    <col min="3" max="3" width="7.75" customWidth="1"/>
    <col min="4" max="4" width="6.375" bestFit="1" customWidth="1"/>
    <col min="6" max="6" width="5" bestFit="1" customWidth="1"/>
    <col min="9" max="9" width="7.625" bestFit="1" customWidth="1"/>
    <col min="10" max="10" width="5" bestFit="1" customWidth="1"/>
    <col min="12" max="12" width="4.75" bestFit="1" customWidth="1"/>
    <col min="13" max="13" width="5.875" bestFit="1" customWidth="1"/>
    <col min="15" max="15" width="8" customWidth="1"/>
  </cols>
  <sheetData>
    <row r="1" spans="2:19" x14ac:dyDescent="0.1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2:19" ht="34.5" customHeight="1" x14ac:dyDescent="0.45">
      <c r="B2" s="41"/>
      <c r="C2" s="95" t="s">
        <v>99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42"/>
    </row>
    <row r="3" spans="2:19" ht="21" thickBot="1" x14ac:dyDescent="0.3">
      <c r="B3" s="41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2"/>
    </row>
    <row r="4" spans="2:19" ht="21.75" customHeight="1" x14ac:dyDescent="0.15">
      <c r="B4" s="41"/>
      <c r="C4" s="96" t="s">
        <v>100</v>
      </c>
      <c r="D4" s="98" t="s">
        <v>101</v>
      </c>
      <c r="E4" s="98" t="s">
        <v>102</v>
      </c>
      <c r="F4" s="98" t="s">
        <v>103</v>
      </c>
      <c r="G4" s="98" t="s">
        <v>104</v>
      </c>
      <c r="H4" s="98"/>
      <c r="I4" s="98"/>
      <c r="J4" s="98" t="s">
        <v>105</v>
      </c>
      <c r="K4" s="98"/>
      <c r="L4" s="98" t="s">
        <v>106</v>
      </c>
      <c r="M4" s="98"/>
      <c r="N4" s="98"/>
      <c r="O4" s="98" t="s">
        <v>107</v>
      </c>
      <c r="P4" s="98" t="s">
        <v>108</v>
      </c>
      <c r="Q4" s="100" t="s">
        <v>109</v>
      </c>
      <c r="R4" s="41"/>
      <c r="S4" s="40"/>
    </row>
    <row r="5" spans="2:19" x14ac:dyDescent="0.15">
      <c r="B5" s="42"/>
      <c r="C5" s="97"/>
      <c r="D5" s="99"/>
      <c r="E5" s="99"/>
      <c r="F5" s="99"/>
      <c r="G5" s="59" t="s">
        <v>110</v>
      </c>
      <c r="H5" s="59" t="s">
        <v>111</v>
      </c>
      <c r="I5" s="59" t="s">
        <v>112</v>
      </c>
      <c r="J5" s="59" t="s">
        <v>113</v>
      </c>
      <c r="K5" s="59" t="s">
        <v>114</v>
      </c>
      <c r="L5" s="59" t="s">
        <v>113</v>
      </c>
      <c r="M5" s="59" t="s">
        <v>110</v>
      </c>
      <c r="N5" s="59" t="s">
        <v>115</v>
      </c>
      <c r="O5" s="99"/>
      <c r="P5" s="99"/>
      <c r="Q5" s="101"/>
      <c r="R5" s="41"/>
      <c r="S5" s="40"/>
    </row>
    <row r="6" spans="2:19" s="3" customFormat="1" x14ac:dyDescent="0.15">
      <c r="B6" s="44"/>
      <c r="C6" s="52" t="str">
        <f t="array" aca="1" ref="C6" ca="1">IF(ROW()-5&gt;COUNTIF(材料进出存季报表!$R$6:$R$30,1),"",OFFSET(材料进出存季报表!$B$6,SMALL(IF(材料进出存季报表!$R$6:$R$30=1,ROW(材料进出存季报表!$R$6:$R$30)-6),ROW(A1)),,))</f>
        <v>DZ0002</v>
      </c>
      <c r="D6" s="47" t="str">
        <f t="array" aca="1" ref="D6" ca="1">IF(ROW()-5&gt;COUNTIF(材料进出存季报表!$R$6:$R$30,1),"",OFFSET(材料进出存季报表!$B$6,SMALL(IF(材料进出存季报表!$R$6:$R$30=1,ROW(材料进出存季报表!$R$6:$R$30)-6),ROW(B1)),1,))</f>
        <v>电阻</v>
      </c>
      <c r="E6" s="47" t="str">
        <f t="array" aca="1" ref="E6" ca="1">IF(ROW()-5&gt;COUNTIF(材料进出存季报表!$R$6:$R$30,1),"",OFFSET(材料进出存季报表!$B$6,SMALL(IF(材料进出存季报表!$R$6:$R$30=1,ROW(材料进出存季报表!$R$6:$R$30)-6),ROW(C1)),2,))</f>
        <v>32Ω</v>
      </c>
      <c r="F6" s="48" t="s">
        <v>116</v>
      </c>
      <c r="G6" s="48">
        <f t="array" aca="1" ref="G6" ca="1">IF(ROW()-5&gt;COUNTIF(材料进出存季报表!$R$6:$R$30,1),"",OFFSET(材料进出存季报表!$B$6,SMALL(IF(材料进出存季报表!$R$6:$R$30=1,ROW(材料进出存季报表!$R$6:$R$30)-6),ROW(C1)),14,))</f>
        <v>10000</v>
      </c>
      <c r="H6" s="48">
        <f t="array" aca="1" ref="H6" ca="1">IF(ROW()-5&gt;COUNTIF(材料进出存季报表!$R$6:$R$30,1),"",OFFSET(材料进出存季报表!$B$6,SMALL(IF(材料进出存季报表!$R$6:$R$30=1,ROW(材料进出存季报表!$R$6:$R$30)-6),ROW(C1)),13,))</f>
        <v>0.33</v>
      </c>
      <c r="I6" s="48">
        <f ca="1">G6*H6</f>
        <v>3300</v>
      </c>
      <c r="J6" s="48" t="s">
        <v>117</v>
      </c>
      <c r="K6" s="48" t="str">
        <f>VLOOKUP(J6,滞存发生原因代码!$A$1:$B$8,2,FALSE)</f>
        <v>正常品</v>
      </c>
      <c r="L6" s="48" t="s">
        <v>118</v>
      </c>
      <c r="M6" s="48">
        <f ca="1">G6</f>
        <v>10000</v>
      </c>
      <c r="N6" s="49">
        <v>41122</v>
      </c>
      <c r="O6" s="48" t="s">
        <v>119</v>
      </c>
      <c r="P6" s="48"/>
      <c r="Q6" s="53"/>
      <c r="R6" s="44"/>
    </row>
    <row r="7" spans="2:19" s="3" customFormat="1" x14ac:dyDescent="0.15">
      <c r="B7" s="44"/>
      <c r="C7" s="52" t="str">
        <f t="array" aca="1" ref="C7" ca="1">IF(ROW()-5&gt;COUNTIF(材料进出存季报表!$R$6:$R$30,1),"",OFFSET(材料进出存季报表!$B$6,SMALL(IF(材料进出存季报表!$R$6:$R$30=1,ROW(材料进出存季报表!$R$6:$R$30)-6),ROW(A2)),,))</f>
        <v>DZ0003</v>
      </c>
      <c r="D7" s="47" t="str">
        <f t="array" aca="1" ref="D7" ca="1">IF(ROW()-5&gt;COUNTIF(材料进出存季报表!$R$6:$R$30,1),"",OFFSET(材料进出存季报表!$B$6,SMALL(IF(材料进出存季报表!$R$6:$R$30=1,ROW(材料进出存季报表!$R$6:$R$30)-6),ROW(B2)),1,))</f>
        <v>电阻</v>
      </c>
      <c r="E7" s="47" t="str">
        <f t="array" aca="1" ref="E7" ca="1">IF(ROW()-5&gt;COUNTIF(材料进出存季报表!$R$6:$R$30,1),"",OFFSET(材料进出存季报表!$B$6,SMALL(IF(材料进出存季报表!$R$6:$R$30=1,ROW(材料进出存季报表!$R$6:$R$30)-6),ROW(C2)),2,))</f>
        <v>100Ω</v>
      </c>
      <c r="F7" s="48" t="s">
        <v>116</v>
      </c>
      <c r="G7" s="48">
        <f t="array" aca="1" ref="G7" ca="1">IF(ROW()-5&gt;COUNTIF(材料进出存季报表!$R$6:$R$30,1),"",OFFSET(材料进出存季报表!$B$6,SMALL(IF(材料进出存季报表!$R$6:$R$30=1,ROW(材料进出存季报表!$R$6:$R$30)-6),ROW(C2)),14,))</f>
        <v>820</v>
      </c>
      <c r="H7" s="48">
        <f t="array" aca="1" ref="H7" ca="1">IF(ROW()-5&gt;COUNTIF(材料进出存季报表!$R$6:$R$30,1),"",OFFSET(材料进出存季报表!$B$6,SMALL(IF(材料进出存季报表!$R$6:$R$30=1,ROW(材料进出存季报表!$R$6:$R$30)-6),ROW(C2)),13,))</f>
        <v>0.57999999999999996</v>
      </c>
      <c r="I7" s="48">
        <f t="shared" ref="I7:I11" ca="1" si="0">G7*H7</f>
        <v>475.59999999999997</v>
      </c>
      <c r="J7" s="48" t="s">
        <v>120</v>
      </c>
      <c r="K7" s="48" t="str">
        <f>VLOOKUP(J7,滞存发生原因代码!$A$1:$B$8,2,FALSE)</f>
        <v>质变</v>
      </c>
      <c r="L7" s="48" t="s">
        <v>121</v>
      </c>
      <c r="M7" s="48">
        <f t="shared" ref="M7:M11" ca="1" si="1">G7</f>
        <v>820</v>
      </c>
      <c r="N7" s="49">
        <v>41122</v>
      </c>
      <c r="O7" s="48" t="s">
        <v>122</v>
      </c>
      <c r="P7" s="48"/>
      <c r="Q7" s="53"/>
      <c r="R7" s="44"/>
    </row>
    <row r="8" spans="2:19" s="3" customFormat="1" ht="24" x14ac:dyDescent="0.15">
      <c r="B8" s="44"/>
      <c r="C8" s="52" t="str">
        <f t="array" aca="1" ref="C8" ca="1">IF(ROW()-5&gt;COUNTIF(材料进出存季报表!$R$6:$R$30,1),"",OFFSET(材料进出存季报表!$B$6,SMALL(IF(材料进出存季报表!$R$6:$R$30=1,ROW(材料进出存季报表!$R$6:$R$30)-6),ROW(A3)),,))</f>
        <v>JCK003</v>
      </c>
      <c r="D8" s="47" t="str">
        <f t="array" aca="1" ref="D8" ca="1">IF(ROW()-5&gt;COUNTIF(材料进出存季报表!$R$6:$R$30,1),"",OFFSET(材料进出存季报表!$B$6,SMALL(IF(材料进出存季报表!$R$6:$R$30=1,ROW(材料进出存季报表!$R$6:$R$30)-6),ROW(B3)),1,))</f>
        <v>集成块</v>
      </c>
      <c r="E8" s="47" t="str">
        <f t="array" aca="1" ref="E8" ca="1">IF(ROW()-5&gt;COUNTIF(材料进出存季报表!$R$6:$R$30,1),"",OFFSET(材料进出存季报表!$B$6,SMALL(IF(材料进出存季报表!$R$6:$R$30=1,ROW(材料进出存季报表!$R$6:$R$30)-6),ROW(C3)),2,))</f>
        <v>AEu8141</v>
      </c>
      <c r="F8" s="48" t="s">
        <v>116</v>
      </c>
      <c r="G8" s="48">
        <f t="array" aca="1" ref="G8" ca="1">IF(ROW()-5&gt;COUNTIF(材料进出存季报表!$R$6:$R$30,1),"",OFFSET(材料进出存季报表!$B$6,SMALL(IF(材料进出存季报表!$R$6:$R$30=1,ROW(材料进出存季报表!$R$6:$R$30)-6),ROW(C3)),14,))</f>
        <v>452</v>
      </c>
      <c r="H8" s="48">
        <f t="array" aca="1" ref="H8" ca="1">IF(ROW()-5&gt;COUNTIF(材料进出存季报表!$R$6:$R$30,1),"",OFFSET(材料进出存季报表!$B$6,SMALL(IF(材料进出存季报表!$R$6:$R$30=1,ROW(材料进出存季报表!$R$6:$R$30)-6),ROW(C3)),13,))</f>
        <v>124.85</v>
      </c>
      <c r="I8" s="48">
        <f t="shared" ca="1" si="0"/>
        <v>56432.2</v>
      </c>
      <c r="J8" s="48" t="s">
        <v>123</v>
      </c>
      <c r="K8" s="48" t="str">
        <f>VLOOKUP(J8,滞存发生原因代码!$A$1:$B$8,2,FALSE)</f>
        <v>客户取消订单</v>
      </c>
      <c r="L8" s="48" t="s">
        <v>124</v>
      </c>
      <c r="M8" s="48">
        <f t="shared" ca="1" si="1"/>
        <v>452</v>
      </c>
      <c r="N8" s="49">
        <v>41122</v>
      </c>
      <c r="O8" s="48" t="s">
        <v>125</v>
      </c>
      <c r="P8" s="48"/>
      <c r="Q8" s="53"/>
      <c r="R8" s="44"/>
    </row>
    <row r="9" spans="2:19" s="3" customFormat="1" x14ac:dyDescent="0.15">
      <c r="B9" s="44"/>
      <c r="C9" s="52" t="str">
        <f t="array" aca="1" ref="C9" ca="1">IF(ROW()-5&gt;COUNTIF(材料进出存季报表!$R$6:$R$30,1),"",OFFSET(材料进出存季报表!$B$6,SMALL(IF(材料进出存季报表!$R$6:$R$30=1,ROW(材料进出存季报表!$R$6:$R$30)-6),ROW(A4)),,))</f>
        <v>JCK005</v>
      </c>
      <c r="D9" s="47" t="str">
        <f t="array" aca="1" ref="D9" ca="1">IF(ROW()-5&gt;COUNTIF(材料进出存季报表!$R$6:$R$30,1),"",OFFSET(材料进出存季报表!$B$6,SMALL(IF(材料进出存季报表!$R$6:$R$30=1,ROW(材料进出存季报表!$R$6:$R$30)-6),ROW(B4)),1,))</f>
        <v>集成块</v>
      </c>
      <c r="E9" s="47" t="str">
        <f t="array" aca="1" ref="E9" ca="1">IF(ROW()-5&gt;COUNTIF(材料进出存季报表!$R$6:$R$30,1),"",OFFSET(材料进出存季报表!$B$6,SMALL(IF(材料进出存季报表!$R$6:$R$30=1,ROW(材料进出存季报表!$R$6:$R$30)-6),ROW(C4)),2,))</f>
        <v>AEu8143</v>
      </c>
      <c r="F9" s="48" t="s">
        <v>116</v>
      </c>
      <c r="G9" s="48">
        <f t="array" aca="1" ref="G9" ca="1">IF(ROW()-5&gt;COUNTIF(材料进出存季报表!$R$6:$R$30,1),"",OFFSET(材料进出存季报表!$B$6,SMALL(IF(材料进出存季报表!$R$6:$R$30=1,ROW(材料进出存季报表!$R$6:$R$30)-6),ROW(C4)),14,))</f>
        <v>41</v>
      </c>
      <c r="H9" s="48">
        <f t="array" aca="1" ref="H9" ca="1">IF(ROW()-5&gt;COUNTIF(材料进出存季报表!$R$6:$R$30,1),"",OFFSET(材料进出存季报表!$B$6,SMALL(IF(材料进出存季报表!$R$6:$R$30=1,ROW(材料进出存季报表!$R$6:$R$30)-6),ROW(C4)),13,))</f>
        <v>70</v>
      </c>
      <c r="I9" s="48">
        <f t="shared" ca="1" si="0"/>
        <v>2870</v>
      </c>
      <c r="J9" s="48" t="s">
        <v>126</v>
      </c>
      <c r="K9" s="48" t="str">
        <f>VLOOKUP(J9,滞存发生原因代码!$A$1:$B$8,2,FALSE)</f>
        <v>次级品</v>
      </c>
      <c r="L9" s="48" t="s">
        <v>123</v>
      </c>
      <c r="M9" s="48">
        <f t="shared" ca="1" si="1"/>
        <v>41</v>
      </c>
      <c r="N9" s="49">
        <v>41122</v>
      </c>
      <c r="O9" s="48" t="s">
        <v>122</v>
      </c>
      <c r="P9" s="48"/>
      <c r="Q9" s="53"/>
      <c r="R9" s="44"/>
    </row>
    <row r="10" spans="2:19" s="3" customFormat="1" ht="24" x14ac:dyDescent="0.15">
      <c r="B10" s="44"/>
      <c r="C10" s="52" t="str">
        <f t="array" aca="1" ref="C10" ca="1">IF(ROW()-5&gt;COUNTIF(材料进出存季报表!$R$6:$R$30,1),"",OFFSET(材料进出存季报表!$B$6,SMALL(IF(材料进出存季报表!$R$6:$R$30=1,ROW(材料进出存季报表!$R$6:$R$30)-6),ROW(A5)),,))</f>
        <v>JCK010</v>
      </c>
      <c r="D10" s="47" t="str">
        <f t="array" aca="1" ref="D10" ca="1">IF(ROW()-5&gt;COUNTIF(材料进出存季报表!$R$6:$R$30,1),"",OFFSET(材料进出存季报表!$B$6,SMALL(IF(材料进出存季报表!$R$6:$R$30=1,ROW(材料进出存季报表!$R$6:$R$30)-6),ROW(B5)),1,))</f>
        <v>集成块</v>
      </c>
      <c r="E10" s="47" t="str">
        <f t="array" aca="1" ref="E10" ca="1">IF(ROW()-5&gt;COUNTIF(材料进出存季报表!$R$6:$R$30,1),"",OFFSET(材料进出存季报表!$B$6,SMALL(IF(材料进出存季报表!$R$6:$R$30=1,ROW(材料进出存季报表!$R$6:$R$30)-6),ROW(C5)),2,))</f>
        <v>AEu8148</v>
      </c>
      <c r="F10" s="48" t="s">
        <v>116</v>
      </c>
      <c r="G10" s="48">
        <f t="array" aca="1" ref="G10" ca="1">IF(ROW()-5&gt;COUNTIF(材料进出存季报表!$R$6:$R$30,1),"",OFFSET(材料进出存季报表!$B$6,SMALL(IF(材料进出存季报表!$R$6:$R$30=1,ROW(材料进出存季报表!$R$6:$R$30)-6),ROW(C5)),14,))</f>
        <v>200</v>
      </c>
      <c r="H10" s="48">
        <f t="array" aca="1" ref="H10" ca="1">IF(ROW()-5&gt;COUNTIF(材料进出存季报表!$R$6:$R$30,1),"",OFFSET(材料进出存季报表!$B$6,SMALL(IF(材料进出存季报表!$R$6:$R$30=1,ROW(材料进出存季报表!$R$6:$R$30)-6),ROW(C5)),13,))</f>
        <v>15.8</v>
      </c>
      <c r="I10" s="48">
        <f t="shared" ca="1" si="0"/>
        <v>3160</v>
      </c>
      <c r="J10" s="48" t="s">
        <v>123</v>
      </c>
      <c r="K10" s="48" t="str">
        <f>VLOOKUP(J10,滞存发生原因代码!$A$1:$B$8,2,FALSE)</f>
        <v>客户取消订单</v>
      </c>
      <c r="L10" s="48" t="s">
        <v>118</v>
      </c>
      <c r="M10" s="48">
        <f t="shared" ca="1" si="1"/>
        <v>200</v>
      </c>
      <c r="N10" s="49">
        <v>41122</v>
      </c>
      <c r="O10" s="48" t="s">
        <v>122</v>
      </c>
      <c r="P10" s="48"/>
      <c r="Q10" s="53"/>
      <c r="R10" s="44"/>
    </row>
    <row r="11" spans="2:19" s="3" customFormat="1" x14ac:dyDescent="0.15">
      <c r="B11" s="44"/>
      <c r="C11" s="52" t="str">
        <f t="array" aca="1" ref="C11" ca="1">IF(ROW()-5&gt;COUNTIF(材料进出存季报表!$R$6:$R$30,1),"",OFFSET(材料进出存季报表!$B$6,SMALL(IF(材料进出存季报表!$R$6:$R$30=1,ROW(材料进出存季报表!$R$6:$R$30)-6),ROW(A6)),,))</f>
        <v>JCK013</v>
      </c>
      <c r="D11" s="47" t="str">
        <f t="array" aca="1" ref="D11" ca="1">IF(ROW()-5&gt;COUNTIF(材料进出存季报表!$R$6:$R$30,1),"",OFFSET(材料进出存季报表!$B$6,SMALL(IF(材料进出存季报表!$R$6:$R$30=1,ROW(材料进出存季报表!$R$6:$R$30)-6),ROW(B6)),1,))</f>
        <v>集成块</v>
      </c>
      <c r="E11" s="47" t="str">
        <f t="array" aca="1" ref="E11" ca="1">IF(ROW()-5&gt;COUNTIF(材料进出存季报表!$R$6:$R$30,1),"",OFFSET(材料进出存季报表!$B$6,SMALL(IF(材料进出存季报表!$R$6:$R$30=1,ROW(材料进出存季报表!$R$6:$R$30)-6),ROW(C6)),2,))</f>
        <v>AEu8151</v>
      </c>
      <c r="F11" s="48" t="s">
        <v>116</v>
      </c>
      <c r="G11" s="48">
        <f t="array" aca="1" ref="G11" ca="1">IF(ROW()-5&gt;COUNTIF(材料进出存季报表!$R$6:$R$30,1),"",OFFSET(材料进出存季报表!$B$6,SMALL(IF(材料进出存季报表!$R$6:$R$30=1,ROW(材料进出存季报表!$R$6:$R$30)-6),ROW(C6)),14,))</f>
        <v>33</v>
      </c>
      <c r="H11" s="48">
        <f t="array" aca="1" ref="H11" ca="1">IF(ROW()-5&gt;COUNTIF(材料进出存季报表!$R$6:$R$30,1),"",OFFSET(材料进出存季报表!$B$6,SMALL(IF(材料进出存季报表!$R$6:$R$30=1,ROW(材料进出存季报表!$R$6:$R$30)-6),ROW(C6)),13,))</f>
        <v>20</v>
      </c>
      <c r="I11" s="48">
        <f t="shared" ca="1" si="0"/>
        <v>660</v>
      </c>
      <c r="J11" s="48" t="s">
        <v>117</v>
      </c>
      <c r="K11" s="48" t="str">
        <f>VLOOKUP(J11,滞存发生原因代码!$A$1:$B$8,2,FALSE)</f>
        <v>正常品</v>
      </c>
      <c r="L11" s="48" t="s">
        <v>117</v>
      </c>
      <c r="M11" s="48">
        <f t="shared" ca="1" si="1"/>
        <v>33</v>
      </c>
      <c r="N11" s="49">
        <v>41122</v>
      </c>
      <c r="O11" s="48" t="s">
        <v>122</v>
      </c>
      <c r="P11" s="48"/>
      <c r="Q11" s="53"/>
      <c r="R11" s="44"/>
    </row>
    <row r="12" spans="2:19" x14ac:dyDescent="0.15">
      <c r="B12" s="42"/>
      <c r="C12" s="54"/>
      <c r="D12" s="50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5"/>
      <c r="R12" s="42"/>
    </row>
    <row r="13" spans="2:19" x14ac:dyDescent="0.15">
      <c r="B13" s="42"/>
      <c r="C13" s="54"/>
      <c r="D13" s="50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5"/>
      <c r="R13" s="42"/>
    </row>
    <row r="14" spans="2:19" x14ac:dyDescent="0.15">
      <c r="B14" s="42"/>
      <c r="C14" s="54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5"/>
      <c r="R14" s="42"/>
    </row>
    <row r="15" spans="2:19" x14ac:dyDescent="0.15">
      <c r="B15" s="42"/>
      <c r="C15" s="54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5"/>
      <c r="R15" s="42"/>
    </row>
    <row r="16" spans="2:19" x14ac:dyDescent="0.15">
      <c r="B16" s="42"/>
      <c r="C16" s="54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5"/>
      <c r="R16" s="42"/>
    </row>
    <row r="17" spans="2:18" x14ac:dyDescent="0.15">
      <c r="B17" s="42"/>
      <c r="C17" s="54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5"/>
      <c r="R17" s="42"/>
    </row>
    <row r="18" spans="2:18" x14ac:dyDescent="0.15">
      <c r="B18" s="42"/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5"/>
      <c r="R18" s="42"/>
    </row>
    <row r="19" spans="2:18" ht="14.25" thickBot="1" x14ac:dyDescent="0.2">
      <c r="B19" s="42"/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42"/>
    </row>
    <row r="20" spans="2:18" ht="28.5" customHeight="1" x14ac:dyDescent="0.2">
      <c r="B20" s="42"/>
      <c r="C20" s="102" t="s">
        <v>127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3"/>
      <c r="N20" s="45"/>
      <c r="O20" s="104"/>
      <c r="P20" s="104"/>
      <c r="Q20" s="104"/>
      <c r="R20" s="42"/>
    </row>
    <row r="21" spans="2:18" ht="26.25" customHeight="1" x14ac:dyDescent="0.15">
      <c r="B21" s="42"/>
      <c r="C21" s="105" t="s">
        <v>128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46" t="s">
        <v>129</v>
      </c>
      <c r="O21" s="107"/>
      <c r="P21" s="107"/>
      <c r="Q21" s="42" t="s">
        <v>130</v>
      </c>
      <c r="R21" s="42"/>
    </row>
  </sheetData>
  <mergeCells count="15">
    <mergeCell ref="C20:M20"/>
    <mergeCell ref="O20:Q20"/>
    <mergeCell ref="C21:M21"/>
    <mergeCell ref="O21:P21"/>
    <mergeCell ref="C2:Q2"/>
    <mergeCell ref="C4:C5"/>
    <mergeCell ref="D4:D5"/>
    <mergeCell ref="E4:E5"/>
    <mergeCell ref="F4:F5"/>
    <mergeCell ref="G4:I4"/>
    <mergeCell ref="J4:K4"/>
    <mergeCell ref="L4:N4"/>
    <mergeCell ref="O4:O5"/>
    <mergeCell ref="P4:P5"/>
    <mergeCell ref="Q4:Q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"/>
  <sheetViews>
    <sheetView showGridLines="0" workbookViewId="0">
      <selection activeCell="Q7" sqref="Q7"/>
    </sheetView>
  </sheetViews>
  <sheetFormatPr defaultRowHeight="13.5" x14ac:dyDescent="0.15"/>
  <cols>
    <col min="1" max="1" width="6.25" customWidth="1"/>
    <col min="2" max="2" width="8" customWidth="1"/>
    <col min="3" max="3" width="6.75" customWidth="1"/>
    <col min="4" max="4" width="9.5" customWidth="1"/>
    <col min="5" max="5" width="3.5" customWidth="1"/>
    <col min="6" max="6" width="11.375" customWidth="1"/>
    <col min="7" max="7" width="8.375" customWidth="1"/>
    <col min="8" max="8" width="6.75" customWidth="1"/>
    <col min="9" max="9" width="7.375" customWidth="1"/>
    <col min="10" max="10" width="8.5" customWidth="1"/>
    <col min="11" max="11" width="7.5" customWidth="1"/>
    <col min="12" max="12" width="9" hidden="1" customWidth="1"/>
    <col min="13" max="13" width="10.5" customWidth="1"/>
    <col min="14" max="14" width="7.625" customWidth="1"/>
    <col min="16" max="16" width="6.625" customWidth="1"/>
    <col min="17" max="17" width="11" customWidth="1"/>
  </cols>
  <sheetData>
    <row r="1" spans="2:17" ht="24" customHeight="1" x14ac:dyDescent="0.15"/>
    <row r="2" spans="2:17" s="60" customFormat="1" ht="43.5" customHeight="1" x14ac:dyDescent="0.15">
      <c r="B2" s="112" t="s">
        <v>131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2:17" s="60" customFormat="1" ht="21" customHeight="1" thickBot="1" x14ac:dyDescent="0.2">
      <c r="H3" s="61"/>
      <c r="I3" s="61"/>
      <c r="J3" s="61"/>
      <c r="K3" s="61"/>
      <c r="L3" s="61"/>
      <c r="M3" s="61"/>
      <c r="N3" s="113" t="s">
        <v>132</v>
      </c>
      <c r="O3" s="113"/>
      <c r="P3" s="114"/>
      <c r="Q3" s="114"/>
    </row>
    <row r="4" spans="2:17" s="61" customFormat="1" ht="32.25" customHeight="1" x14ac:dyDescent="0.15">
      <c r="B4" s="115" t="s">
        <v>0</v>
      </c>
      <c r="C4" s="108" t="s">
        <v>133</v>
      </c>
      <c r="D4" s="108" t="s">
        <v>1</v>
      </c>
      <c r="E4" s="108" t="s">
        <v>2</v>
      </c>
      <c r="F4" s="108" t="s">
        <v>134</v>
      </c>
      <c r="G4" s="117" t="s">
        <v>135</v>
      </c>
      <c r="H4" s="108" t="s">
        <v>136</v>
      </c>
      <c r="I4" s="108" t="s">
        <v>137</v>
      </c>
      <c r="J4" s="108"/>
      <c r="K4" s="108"/>
      <c r="L4" s="108"/>
      <c r="M4" s="108"/>
      <c r="N4" s="108"/>
      <c r="O4" s="108"/>
      <c r="P4" s="108"/>
      <c r="Q4" s="109"/>
    </row>
    <row r="5" spans="2:17" s="61" customFormat="1" ht="28.5" customHeight="1" x14ac:dyDescent="0.15">
      <c r="B5" s="116"/>
      <c r="C5" s="110"/>
      <c r="D5" s="110"/>
      <c r="E5" s="110"/>
      <c r="F5" s="110"/>
      <c r="G5" s="118"/>
      <c r="H5" s="110"/>
      <c r="I5" s="110" t="s">
        <v>138</v>
      </c>
      <c r="J5" s="110"/>
      <c r="K5" s="110"/>
      <c r="L5" s="110"/>
      <c r="M5" s="110"/>
      <c r="N5" s="110" t="s">
        <v>139</v>
      </c>
      <c r="O5" s="110"/>
      <c r="P5" s="110"/>
      <c r="Q5" s="111"/>
    </row>
    <row r="6" spans="2:17" s="61" customFormat="1" ht="39" customHeight="1" x14ac:dyDescent="0.15">
      <c r="B6" s="116"/>
      <c r="C6" s="110"/>
      <c r="D6" s="110"/>
      <c r="E6" s="110"/>
      <c r="F6" s="110"/>
      <c r="G6" s="119"/>
      <c r="H6" s="110"/>
      <c r="I6" s="62" t="s">
        <v>140</v>
      </c>
      <c r="J6" s="62" t="s">
        <v>141</v>
      </c>
      <c r="K6" s="62" t="s">
        <v>142</v>
      </c>
      <c r="L6" s="62" t="s">
        <v>143</v>
      </c>
      <c r="M6" s="62" t="s">
        <v>144</v>
      </c>
      <c r="N6" s="62" t="s">
        <v>140</v>
      </c>
      <c r="O6" s="62" t="s">
        <v>141</v>
      </c>
      <c r="P6" s="62" t="s">
        <v>142</v>
      </c>
      <c r="Q6" s="63" t="s">
        <v>145</v>
      </c>
    </row>
    <row r="7" spans="2:17" s="64" customFormat="1" ht="18" customHeight="1" x14ac:dyDescent="0.15">
      <c r="B7" s="65" t="s">
        <v>3</v>
      </c>
      <c r="C7" s="66" t="str">
        <f ca="1">VLOOKUP($B7,三个月无异动滞料明细表!$C$4:$O$11,2,FALSE)</f>
        <v>电阻</v>
      </c>
      <c r="D7" s="66" t="str">
        <f ca="1">VLOOKUP($B7,三个月无异动滞料明细表!$C$4:$O$11,3,FALSE)</f>
        <v>32Ω</v>
      </c>
      <c r="E7" s="66" t="s">
        <v>146</v>
      </c>
      <c r="F7" s="67">
        <v>40920</v>
      </c>
      <c r="G7" s="68">
        <f ca="1">VLOOKUP($B7,三个月无异动滞料明细表!$C$4:$O$11,5,FALSE)</f>
        <v>10000</v>
      </c>
      <c r="H7" s="66">
        <v>500</v>
      </c>
      <c r="I7" s="66">
        <f ca="1">VLOOKUP($B7,三个月无异动滞料明细表!$C$4:$O$11,6,FALSE)</f>
        <v>0.33</v>
      </c>
      <c r="J7" s="69">
        <f ca="1">I7*1.5</f>
        <v>0.495</v>
      </c>
      <c r="K7" s="66">
        <v>0.25</v>
      </c>
      <c r="L7" s="66"/>
      <c r="M7" s="70">
        <f ca="1">(J7-K7)/J7</f>
        <v>0.49494949494949497</v>
      </c>
      <c r="N7" s="66">
        <f ca="1">I7*H7</f>
        <v>165</v>
      </c>
      <c r="O7" s="69">
        <f ca="1">J7</f>
        <v>0.495</v>
      </c>
      <c r="P7" s="66">
        <f>K7</f>
        <v>0.25</v>
      </c>
      <c r="Q7" s="71">
        <f ca="1">H7*M7</f>
        <v>247.47474747474749</v>
      </c>
    </row>
    <row r="8" spans="2:17" s="72" customFormat="1" ht="18" customHeight="1" x14ac:dyDescent="0.15">
      <c r="B8" s="65" t="s">
        <v>4</v>
      </c>
      <c r="C8" s="66" t="str">
        <f ca="1">VLOOKUP($B8,三个月无异动滞料明细表!$C$4:$O$11,2,FALSE)</f>
        <v>电阻</v>
      </c>
      <c r="D8" s="66" t="str">
        <f ca="1">VLOOKUP($B8,三个月无异动滞料明细表!$C$4:$O$11,3,FALSE)</f>
        <v>100Ω</v>
      </c>
      <c r="E8" s="66" t="s">
        <v>147</v>
      </c>
      <c r="F8" s="67">
        <v>40921</v>
      </c>
      <c r="G8" s="68">
        <f ca="1">VLOOKUP($B8,三个月无异动滞料明细表!$C$4:$O$11,5,FALSE)</f>
        <v>820</v>
      </c>
      <c r="H8" s="2">
        <v>200</v>
      </c>
      <c r="I8" s="66">
        <f ca="1">VLOOKUP($B8,三个月无异动滞料明细表!$C$4:$O$11,6,FALSE)</f>
        <v>0.57999999999999996</v>
      </c>
      <c r="J8" s="69">
        <f t="shared" ref="J8:J12" ca="1" si="0">I8*1.5</f>
        <v>0.86999999999999988</v>
      </c>
      <c r="K8" s="2">
        <v>0.4</v>
      </c>
      <c r="L8" s="2"/>
      <c r="M8" s="70">
        <f t="shared" ref="M8:M12" ca="1" si="1">(J8-K8)/J8</f>
        <v>0.54022988505747116</v>
      </c>
      <c r="N8" s="66">
        <f t="shared" ref="N8:N12" ca="1" si="2">I8*H8</f>
        <v>115.99999999999999</v>
      </c>
      <c r="O8" s="69">
        <f t="shared" ref="O8:P12" ca="1" si="3">J8</f>
        <v>0.86999999999999988</v>
      </c>
      <c r="P8" s="66">
        <f t="shared" si="3"/>
        <v>0.4</v>
      </c>
      <c r="Q8" s="71">
        <f t="shared" ref="Q8:Q12" ca="1" si="4">H8*M8</f>
        <v>108.04597701149423</v>
      </c>
    </row>
    <row r="9" spans="2:17" s="72" customFormat="1" ht="18" customHeight="1" x14ac:dyDescent="0.15">
      <c r="B9" s="65" t="s">
        <v>14</v>
      </c>
      <c r="C9" s="66" t="str">
        <f ca="1">VLOOKUP($B9,三个月无异动滞料明细表!$C$4:$O$11,2,FALSE)</f>
        <v>集成块</v>
      </c>
      <c r="D9" s="66" t="str">
        <f ca="1">VLOOKUP($B9,三个月无异动滞料明细表!$C$4:$O$11,3,FALSE)</f>
        <v>AEu8141</v>
      </c>
      <c r="E9" s="66" t="s">
        <v>148</v>
      </c>
      <c r="F9" s="67">
        <v>40922</v>
      </c>
      <c r="G9" s="68">
        <f ca="1">VLOOKUP($B9,三个月无异动滞料明细表!$C$4:$O$11,5,FALSE)</f>
        <v>452</v>
      </c>
      <c r="H9" s="2">
        <v>300</v>
      </c>
      <c r="I9" s="66">
        <f ca="1">VLOOKUP($B9,三个月无异动滞料明细表!$C$4:$O$11,6,FALSE)</f>
        <v>124.85</v>
      </c>
      <c r="J9" s="69">
        <f t="shared" ca="1" si="0"/>
        <v>187.27499999999998</v>
      </c>
      <c r="K9" s="2">
        <v>0.18</v>
      </c>
      <c r="L9" s="2"/>
      <c r="M9" s="70">
        <f t="shared" ca="1" si="1"/>
        <v>0.99903884661593911</v>
      </c>
      <c r="N9" s="66">
        <f t="shared" ca="1" si="2"/>
        <v>37455</v>
      </c>
      <c r="O9" s="69">
        <f t="shared" ca="1" si="3"/>
        <v>187.27499999999998</v>
      </c>
      <c r="P9" s="66">
        <f t="shared" si="3"/>
        <v>0.18</v>
      </c>
      <c r="Q9" s="71">
        <f t="shared" ca="1" si="4"/>
        <v>299.71165398478172</v>
      </c>
    </row>
    <row r="10" spans="2:17" s="72" customFormat="1" ht="18" customHeight="1" x14ac:dyDescent="0.15">
      <c r="B10" s="65" t="s">
        <v>17</v>
      </c>
      <c r="C10" s="66" t="str">
        <f ca="1">VLOOKUP($B10,三个月无异动滞料明细表!$C$4:$O$11,2,FALSE)</f>
        <v>集成块</v>
      </c>
      <c r="D10" s="66" t="str">
        <f ca="1">VLOOKUP($B10,三个月无异动滞料明细表!$C$4:$O$11,3,FALSE)</f>
        <v>AEu8143</v>
      </c>
      <c r="E10" s="66" t="s">
        <v>148</v>
      </c>
      <c r="F10" s="67">
        <v>40923</v>
      </c>
      <c r="G10" s="68">
        <f ca="1">VLOOKUP($B10,三个月无异动滞料明细表!$C$4:$O$11,5,FALSE)</f>
        <v>41</v>
      </c>
      <c r="H10" s="2">
        <v>200</v>
      </c>
      <c r="I10" s="66">
        <f ca="1">VLOOKUP($B10,三个月无异动滞料明细表!$C$4:$O$11,6,FALSE)</f>
        <v>70</v>
      </c>
      <c r="J10" s="69">
        <f t="shared" ca="1" si="0"/>
        <v>105</v>
      </c>
      <c r="K10" s="2">
        <v>100</v>
      </c>
      <c r="L10" s="2"/>
      <c r="M10" s="70">
        <f t="shared" ca="1" si="1"/>
        <v>4.7619047619047616E-2</v>
      </c>
      <c r="N10" s="66">
        <f t="shared" ca="1" si="2"/>
        <v>14000</v>
      </c>
      <c r="O10" s="69">
        <f t="shared" ca="1" si="3"/>
        <v>105</v>
      </c>
      <c r="P10" s="66">
        <f t="shared" si="3"/>
        <v>100</v>
      </c>
      <c r="Q10" s="71">
        <f t="shared" ca="1" si="4"/>
        <v>9.5238095238095237</v>
      </c>
    </row>
    <row r="11" spans="2:17" s="72" customFormat="1" ht="18" customHeight="1" x14ac:dyDescent="0.15">
      <c r="B11" s="65" t="s">
        <v>84</v>
      </c>
      <c r="C11" s="66" t="str">
        <f ca="1">VLOOKUP($B11,三个月无异动滞料明细表!$C$4:$O$11,2,FALSE)</f>
        <v>集成块</v>
      </c>
      <c r="D11" s="66" t="str">
        <f ca="1">VLOOKUP($B11,三个月无异动滞料明细表!$C$4:$O$11,3,FALSE)</f>
        <v>AEu8148</v>
      </c>
      <c r="E11" s="66" t="s">
        <v>149</v>
      </c>
      <c r="F11" s="67">
        <v>40924</v>
      </c>
      <c r="G11" s="68">
        <f ca="1">VLOOKUP($B11,三个月无异动滞料明细表!$C$4:$O$11,5,FALSE)</f>
        <v>200</v>
      </c>
      <c r="H11" s="2">
        <v>100</v>
      </c>
      <c r="I11" s="66">
        <f ca="1">VLOOKUP($B11,三个月无异动滞料明细表!$C$4:$O$11,6,FALSE)</f>
        <v>15.8</v>
      </c>
      <c r="J11" s="69">
        <f t="shared" ca="1" si="0"/>
        <v>23.700000000000003</v>
      </c>
      <c r="K11" s="2">
        <v>15</v>
      </c>
      <c r="L11" s="2"/>
      <c r="M11" s="70">
        <f t="shared" ca="1" si="1"/>
        <v>0.36708860759493678</v>
      </c>
      <c r="N11" s="66">
        <f t="shared" ca="1" si="2"/>
        <v>1580</v>
      </c>
      <c r="O11" s="69">
        <f t="shared" ca="1" si="3"/>
        <v>23.700000000000003</v>
      </c>
      <c r="P11" s="66">
        <f t="shared" si="3"/>
        <v>15</v>
      </c>
      <c r="Q11" s="71">
        <f t="shared" ca="1" si="4"/>
        <v>36.708860759493675</v>
      </c>
    </row>
    <row r="12" spans="2:17" s="72" customFormat="1" ht="18" customHeight="1" x14ac:dyDescent="0.15">
      <c r="B12" s="65" t="s">
        <v>90</v>
      </c>
      <c r="C12" s="66" t="str">
        <f ca="1">VLOOKUP($B12,三个月无异动滞料明细表!$C$4:$O$11,2,FALSE)</f>
        <v>集成块</v>
      </c>
      <c r="D12" s="66" t="str">
        <f ca="1">VLOOKUP($B12,三个月无异动滞料明细表!$C$4:$O$11,3,FALSE)</f>
        <v>AEu8151</v>
      </c>
      <c r="E12" s="66" t="s">
        <v>148</v>
      </c>
      <c r="F12" s="67">
        <v>40925</v>
      </c>
      <c r="G12" s="68">
        <f ca="1">VLOOKUP($B12,三个月无异动滞料明细表!$C$4:$O$11,5,FALSE)</f>
        <v>33</v>
      </c>
      <c r="H12" s="2">
        <v>15</v>
      </c>
      <c r="I12" s="66">
        <f ca="1">VLOOKUP($B12,三个月无异动滞料明细表!$C$4:$O$11,6,FALSE)</f>
        <v>20</v>
      </c>
      <c r="J12" s="69">
        <f t="shared" ca="1" si="0"/>
        <v>30</v>
      </c>
      <c r="K12" s="2">
        <v>20</v>
      </c>
      <c r="L12" s="2"/>
      <c r="M12" s="70">
        <f t="shared" ca="1" si="1"/>
        <v>0.33333333333333331</v>
      </c>
      <c r="N12" s="66">
        <f t="shared" ca="1" si="2"/>
        <v>300</v>
      </c>
      <c r="O12" s="69">
        <f t="shared" ca="1" si="3"/>
        <v>30</v>
      </c>
      <c r="P12" s="66">
        <f t="shared" si="3"/>
        <v>20</v>
      </c>
      <c r="Q12" s="71">
        <f t="shared" ca="1" si="4"/>
        <v>5</v>
      </c>
    </row>
    <row r="13" spans="2:17" ht="18" customHeight="1" x14ac:dyDescent="0.15">
      <c r="B13" s="7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74"/>
    </row>
    <row r="14" spans="2:17" ht="18" customHeight="1" x14ac:dyDescent="0.1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7"/>
    </row>
    <row r="15" spans="2:17" ht="18" customHeight="1" thickBot="1" x14ac:dyDescent="0.2"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</row>
  </sheetData>
  <mergeCells count="13">
    <mergeCell ref="I4:Q4"/>
    <mergeCell ref="I5:M5"/>
    <mergeCell ref="N5:Q5"/>
    <mergeCell ref="B2:Q2"/>
    <mergeCell ref="N3:O3"/>
    <mergeCell ref="P3:Q3"/>
    <mergeCell ref="B4:B6"/>
    <mergeCell ref="C4:C6"/>
    <mergeCell ref="D4:D6"/>
    <mergeCell ref="E4:E6"/>
    <mergeCell ref="F4:F6"/>
    <mergeCell ref="G4:G6"/>
    <mergeCell ref="H4:H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滞存发生原因代码</vt:lpstr>
      <vt:lpstr>材料进出存季报表</vt:lpstr>
      <vt:lpstr>三个月无异动滞料明细表</vt:lpstr>
      <vt:lpstr>滞料出售损益明细表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2012-06-07T09:04:09Z</dcterms:created>
  <dcterms:modified xsi:type="dcterms:W3CDTF">2012-08-27T21:50:49Z</dcterms:modified>
</cp:coreProperties>
</file>