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19320" windowHeight="9765" tabRatio="891" activeTab="1"/>
  </bookViews>
  <sheets>
    <sheet name="基础数据表" sheetId="2" r:id="rId1"/>
    <sheet name="材料出库汇总表" sheetId="9" r:id="rId2"/>
  </sheets>
  <definedNames>
    <definedName name="材料编码">OFFEST(基础数据表!$C$2,,,COUNTA(基础数据表!$C:$C)-1,1)</definedName>
    <definedName name="供应商编号">OFFSET(基础数据表!$A$2,,,COUNTA(基础数据表!$A:$A)-1,1)</definedName>
    <definedName name="供应商名称">OFFSET(基础数据表!$B$2,,,COUNTA(基础数据表!$B:$B)-1,1)</definedName>
  </definedNames>
  <calcPr calcId="145621"/>
</workbook>
</file>

<file path=xl/calcChain.xml><?xml version="1.0" encoding="utf-8"?>
<calcChain xmlns="http://schemas.openxmlformats.org/spreadsheetml/2006/main">
  <c r="N77" i="9"/>
  <c r="L77"/>
  <c r="L30" l="1"/>
  <c r="M18" l="1"/>
  <c r="M19"/>
  <c r="M20"/>
  <c r="M22"/>
  <c r="M25"/>
  <c r="M26"/>
  <c r="M27"/>
  <c r="M29"/>
  <c r="M30"/>
  <c r="M32"/>
  <c r="M35"/>
  <c r="M36"/>
  <c r="M37"/>
  <c r="M38"/>
  <c r="M39"/>
  <c r="M40"/>
  <c r="M42"/>
  <c r="M43"/>
  <c r="M44"/>
  <c r="M45"/>
  <c r="M46"/>
  <c r="M47"/>
  <c r="M48"/>
  <c r="M49"/>
  <c r="M60"/>
  <c r="M62"/>
  <c r="M63"/>
  <c r="M65"/>
  <c r="M52"/>
  <c r="M54"/>
  <c r="M55"/>
  <c r="M57"/>
  <c r="M5"/>
  <c r="M7"/>
  <c r="M8"/>
  <c r="M9"/>
  <c r="M10"/>
  <c r="M11"/>
  <c r="M12"/>
  <c r="M14"/>
  <c r="M68"/>
  <c r="M69"/>
  <c r="M71"/>
  <c r="M73"/>
  <c r="M17"/>
  <c r="J18"/>
  <c r="J19"/>
  <c r="J20"/>
  <c r="J22"/>
  <c r="J25"/>
  <c r="J26"/>
  <c r="J27"/>
  <c r="J29"/>
  <c r="J30"/>
  <c r="J32"/>
  <c r="J35"/>
  <c r="J36"/>
  <c r="J37"/>
  <c r="J38"/>
  <c r="J39"/>
  <c r="J40"/>
  <c r="J42"/>
  <c r="J43"/>
  <c r="J44"/>
  <c r="J45"/>
  <c r="J46"/>
  <c r="J47"/>
  <c r="J48"/>
  <c r="J49"/>
  <c r="J60"/>
  <c r="J62"/>
  <c r="J63"/>
  <c r="J65"/>
  <c r="J52"/>
  <c r="J54"/>
  <c r="J55"/>
  <c r="J57"/>
  <c r="J5"/>
  <c r="J7"/>
  <c r="J8"/>
  <c r="J9"/>
  <c r="J10"/>
  <c r="J11"/>
  <c r="J12"/>
  <c r="J14"/>
  <c r="J68"/>
  <c r="J69"/>
  <c r="J71"/>
  <c r="J73"/>
  <c r="J17"/>
  <c r="I17"/>
  <c r="I18"/>
  <c r="I19"/>
  <c r="I20"/>
  <c r="I22"/>
  <c r="I25"/>
  <c r="I26"/>
  <c r="I27"/>
  <c r="I29"/>
  <c r="I30"/>
  <c r="I32"/>
  <c r="I35"/>
  <c r="I36"/>
  <c r="I37"/>
  <c r="I38"/>
  <c r="I39"/>
  <c r="I40"/>
  <c r="I42"/>
  <c r="I43"/>
  <c r="I44"/>
  <c r="I45"/>
  <c r="I46"/>
  <c r="I47"/>
  <c r="I48"/>
  <c r="I49"/>
  <c r="I60"/>
  <c r="I62"/>
  <c r="I63"/>
  <c r="I65"/>
  <c r="I52"/>
  <c r="I54"/>
  <c r="I55"/>
  <c r="I57"/>
  <c r="I5"/>
  <c r="I7"/>
  <c r="I8"/>
  <c r="I9"/>
  <c r="I10"/>
  <c r="I11"/>
  <c r="I12"/>
  <c r="I14"/>
  <c r="I68"/>
  <c r="I69"/>
  <c r="I71"/>
  <c r="I73"/>
  <c r="H17"/>
  <c r="H18"/>
  <c r="H19"/>
  <c r="H20"/>
  <c r="H22"/>
  <c r="H25"/>
  <c r="H26"/>
  <c r="H27"/>
  <c r="H29"/>
  <c r="H30"/>
  <c r="H32"/>
  <c r="H35"/>
  <c r="H36"/>
  <c r="H37"/>
  <c r="H38"/>
  <c r="H39"/>
  <c r="H40"/>
  <c r="H42"/>
  <c r="H43"/>
  <c r="H44"/>
  <c r="H45"/>
  <c r="H46"/>
  <c r="H47"/>
  <c r="H48"/>
  <c r="H49"/>
  <c r="H60"/>
  <c r="H62"/>
  <c r="H63"/>
  <c r="H65"/>
  <c r="H52"/>
  <c r="H54"/>
  <c r="H55"/>
  <c r="H57"/>
  <c r="H5"/>
  <c r="H7"/>
  <c r="H8"/>
  <c r="H9"/>
  <c r="H10"/>
  <c r="H11"/>
  <c r="H12"/>
  <c r="H14"/>
  <c r="H68"/>
  <c r="H69"/>
  <c r="H71"/>
  <c r="H73"/>
  <c r="L73"/>
  <c r="L74" s="1"/>
  <c r="L71"/>
  <c r="L72" s="1"/>
  <c r="L69"/>
  <c r="L68"/>
  <c r="L14"/>
  <c r="L15" s="1"/>
  <c r="L12"/>
  <c r="L11"/>
  <c r="L10"/>
  <c r="L9"/>
  <c r="L8"/>
  <c r="L7"/>
  <c r="L5"/>
  <c r="L57"/>
  <c r="L58" s="1"/>
  <c r="L55"/>
  <c r="L54"/>
  <c r="L52"/>
  <c r="L65"/>
  <c r="L66" s="1"/>
  <c r="L63"/>
  <c r="L62"/>
  <c r="L60"/>
  <c r="L49"/>
  <c r="L48"/>
  <c r="L47"/>
  <c r="L46"/>
  <c r="L45"/>
  <c r="L44"/>
  <c r="L43"/>
  <c r="L42"/>
  <c r="L40"/>
  <c r="L39"/>
  <c r="L38"/>
  <c r="L37"/>
  <c r="L36"/>
  <c r="L35"/>
  <c r="L32"/>
  <c r="L33" s="1"/>
  <c r="L29"/>
  <c r="L31" s="1"/>
  <c r="L27"/>
  <c r="L26"/>
  <c r="L22"/>
  <c r="L23" s="1"/>
  <c r="L20"/>
  <c r="L19"/>
  <c r="L21" l="1"/>
  <c r="L64"/>
  <c r="L56"/>
  <c r="L13"/>
  <c r="L34"/>
  <c r="L28"/>
  <c r="L51"/>
  <c r="L41"/>
  <c r="L50"/>
  <c r="L61"/>
  <c r="L67" s="1"/>
  <c r="L53"/>
  <c r="L59" s="1"/>
  <c r="L6"/>
  <c r="L70"/>
  <c r="L75" s="1"/>
  <c r="L16"/>
  <c r="L24"/>
  <c r="L79" s="1"/>
  <c r="N17"/>
  <c r="N18"/>
  <c r="N19"/>
  <c r="N20"/>
  <c r="N22"/>
  <c r="N23" s="1"/>
  <c r="N26"/>
  <c r="N27"/>
  <c r="N30"/>
  <c r="N32"/>
  <c r="N33" s="1"/>
  <c r="N36"/>
  <c r="N37"/>
  <c r="N38"/>
  <c r="N39"/>
  <c r="N40"/>
  <c r="N43"/>
  <c r="N44"/>
  <c r="N45"/>
  <c r="N46"/>
  <c r="N47"/>
  <c r="N48"/>
  <c r="N49"/>
  <c r="N63"/>
  <c r="N65"/>
  <c r="N66" s="1"/>
  <c r="N55"/>
  <c r="N57"/>
  <c r="N58" s="1"/>
  <c r="N8"/>
  <c r="N9"/>
  <c r="N10"/>
  <c r="N11"/>
  <c r="N12"/>
  <c r="N14"/>
  <c r="N15" s="1"/>
  <c r="N69"/>
  <c r="N73"/>
  <c r="N74" s="1"/>
  <c r="N25"/>
  <c r="N35"/>
  <c r="N42"/>
  <c r="N60"/>
  <c r="N61" s="1"/>
  <c r="N52"/>
  <c r="N53" s="1"/>
  <c r="N5"/>
  <c r="N68"/>
  <c r="N70" s="1"/>
  <c r="N71"/>
  <c r="N72" s="1"/>
  <c r="N29"/>
  <c r="N31" s="1"/>
  <c r="N62"/>
  <c r="N54"/>
  <c r="N56" s="1"/>
  <c r="N7"/>
  <c r="N13" l="1"/>
  <c r="N64"/>
  <c r="N41"/>
  <c r="L78"/>
  <c r="N6"/>
  <c r="N28"/>
  <c r="N50"/>
  <c r="N21"/>
  <c r="N51"/>
  <c r="N24"/>
  <c r="N75"/>
  <c r="N67"/>
  <c r="N59"/>
  <c r="N34"/>
  <c r="N16"/>
  <c r="N79" s="1"/>
  <c r="N78" l="1"/>
</calcChain>
</file>

<file path=xl/sharedStrings.xml><?xml version="1.0" encoding="utf-8"?>
<sst xmlns="http://schemas.openxmlformats.org/spreadsheetml/2006/main" count="317" uniqueCount="146">
  <si>
    <t>YQJ-0001</t>
    <phoneticPr fontId="1" type="noConversion"/>
  </si>
  <si>
    <t>YQJ-0002</t>
  </si>
  <si>
    <t>JCK-0001</t>
    <phoneticPr fontId="1" type="noConversion"/>
  </si>
  <si>
    <t>JCK-0002</t>
  </si>
  <si>
    <t>XSQ-0001</t>
    <phoneticPr fontId="1" type="noConversion"/>
  </si>
  <si>
    <t>SRQ-0001</t>
    <phoneticPr fontId="1" type="noConversion"/>
  </si>
  <si>
    <t>TX-0001</t>
    <phoneticPr fontId="1" type="noConversion"/>
  </si>
  <si>
    <t>YZB-0001</t>
    <phoneticPr fontId="1" type="noConversion"/>
  </si>
  <si>
    <t>YZB-0002</t>
  </si>
  <si>
    <t>YZB-0003</t>
  </si>
  <si>
    <t>新为电子</t>
    <phoneticPr fontId="1" type="noConversion"/>
  </si>
  <si>
    <t>三河集团</t>
    <phoneticPr fontId="1" type="noConversion"/>
  </si>
  <si>
    <t>元丰今日</t>
    <phoneticPr fontId="1" type="noConversion"/>
  </si>
  <si>
    <t>金元电器</t>
    <phoneticPr fontId="1" type="noConversion"/>
  </si>
  <si>
    <t>盛华</t>
    <phoneticPr fontId="1" type="noConversion"/>
  </si>
  <si>
    <t>恒杰电子</t>
    <phoneticPr fontId="1" type="noConversion"/>
  </si>
  <si>
    <t>华声集团</t>
    <phoneticPr fontId="1" type="noConversion"/>
  </si>
  <si>
    <t>海域电子</t>
    <phoneticPr fontId="1" type="noConversion"/>
  </si>
  <si>
    <t>创维科技</t>
    <phoneticPr fontId="1" type="noConversion"/>
  </si>
  <si>
    <t>宏图三胞</t>
    <phoneticPr fontId="1" type="noConversion"/>
  </si>
  <si>
    <t>罗利亚</t>
    <phoneticPr fontId="1" type="noConversion"/>
  </si>
  <si>
    <t>克罗保</t>
    <phoneticPr fontId="1" type="noConversion"/>
  </si>
  <si>
    <t>志邦</t>
    <phoneticPr fontId="1" type="noConversion"/>
  </si>
  <si>
    <t>佳缘电器</t>
    <phoneticPr fontId="1" type="noConversion"/>
  </si>
  <si>
    <t>时代电子</t>
    <phoneticPr fontId="1" type="noConversion"/>
  </si>
  <si>
    <t>思创科技</t>
    <phoneticPr fontId="1" type="noConversion"/>
  </si>
  <si>
    <t>材料编码</t>
    <phoneticPr fontId="1" type="noConversion"/>
  </si>
  <si>
    <t>材料类别</t>
    <phoneticPr fontId="1" type="noConversion"/>
  </si>
  <si>
    <t>规格型号</t>
    <phoneticPr fontId="1" type="noConversion"/>
  </si>
  <si>
    <t>单位</t>
    <phoneticPr fontId="1" type="noConversion"/>
  </si>
  <si>
    <t>单价</t>
    <phoneticPr fontId="1" type="noConversion"/>
  </si>
  <si>
    <t>DZ0001</t>
    <phoneticPr fontId="1" type="noConversion"/>
  </si>
  <si>
    <t>电阻</t>
    <phoneticPr fontId="1" type="noConversion"/>
  </si>
  <si>
    <t>支</t>
    <phoneticPr fontId="1" type="noConversion"/>
  </si>
  <si>
    <t>DZ0002</t>
  </si>
  <si>
    <r>
      <t>32Ω</t>
    </r>
    <r>
      <rPr>
        <sz val="11"/>
        <color theme="1"/>
        <rFont val="宋体"/>
        <family val="3"/>
        <charset val="134"/>
      </rPr>
      <t/>
    </r>
    <phoneticPr fontId="1" type="noConversion"/>
  </si>
  <si>
    <t>DZ0003</t>
  </si>
  <si>
    <r>
      <t>100Ω</t>
    </r>
    <r>
      <rPr>
        <sz val="11"/>
        <color theme="1"/>
        <rFont val="宋体"/>
        <family val="3"/>
        <charset val="134"/>
      </rPr>
      <t/>
    </r>
    <phoneticPr fontId="1" type="noConversion"/>
  </si>
  <si>
    <t>DZ0004</t>
  </si>
  <si>
    <r>
      <t>320Ω</t>
    </r>
    <r>
      <rPr>
        <sz val="11"/>
        <color theme="1"/>
        <rFont val="宋体"/>
        <family val="3"/>
        <charset val="134"/>
      </rPr>
      <t/>
    </r>
    <phoneticPr fontId="1" type="noConversion"/>
  </si>
  <si>
    <t>DZ0005</t>
  </si>
  <si>
    <r>
      <t>29Ω</t>
    </r>
    <r>
      <rPr>
        <sz val="11"/>
        <color theme="1"/>
        <rFont val="宋体"/>
        <family val="3"/>
        <charset val="134"/>
      </rPr>
      <t/>
    </r>
  </si>
  <si>
    <t>DZ0006</t>
  </si>
  <si>
    <r>
      <t>30Ω</t>
    </r>
    <r>
      <rPr>
        <sz val="11"/>
        <color theme="1"/>
        <rFont val="宋体"/>
        <family val="3"/>
        <charset val="134"/>
      </rPr>
      <t/>
    </r>
  </si>
  <si>
    <t>DR0001</t>
    <phoneticPr fontId="1" type="noConversion"/>
  </si>
  <si>
    <t>电容</t>
    <phoneticPr fontId="1" type="noConversion"/>
  </si>
  <si>
    <t>10F</t>
    <phoneticPr fontId="1" type="noConversion"/>
  </si>
  <si>
    <t>DR0002</t>
  </si>
  <si>
    <t>18F</t>
    <phoneticPr fontId="1" type="noConversion"/>
  </si>
  <si>
    <t>DR0003</t>
  </si>
  <si>
    <t>50F</t>
    <phoneticPr fontId="1" type="noConversion"/>
  </si>
  <si>
    <t>DR0004</t>
  </si>
  <si>
    <t>100F</t>
    <phoneticPr fontId="1" type="noConversion"/>
  </si>
  <si>
    <t>DR0005</t>
  </si>
  <si>
    <t>25F</t>
    <phoneticPr fontId="1" type="noConversion"/>
  </si>
  <si>
    <t>DR0006</t>
  </si>
  <si>
    <t>0.5F</t>
    <phoneticPr fontId="1" type="noConversion"/>
  </si>
  <si>
    <t>JCK001</t>
    <phoneticPr fontId="1" type="noConversion"/>
  </si>
  <si>
    <t>集成块</t>
    <phoneticPr fontId="1" type="noConversion"/>
  </si>
  <si>
    <t>AEu8139</t>
    <phoneticPr fontId="1" type="noConversion"/>
  </si>
  <si>
    <t>JCK002</t>
  </si>
  <si>
    <t>AEu8120</t>
    <phoneticPr fontId="1" type="noConversion"/>
  </si>
  <si>
    <t>JCK003</t>
  </si>
  <si>
    <t>AEu8141</t>
  </si>
  <si>
    <t>JCK004</t>
  </si>
  <si>
    <t>AEu8152</t>
    <phoneticPr fontId="1" type="noConversion"/>
  </si>
  <si>
    <t>JCK005</t>
  </si>
  <si>
    <t>AEu8143</t>
  </si>
  <si>
    <t>JCK006</t>
  </si>
  <si>
    <t>AEu9144</t>
    <phoneticPr fontId="1" type="noConversion"/>
  </si>
  <si>
    <t>JCK007</t>
  </si>
  <si>
    <t>AEu8145</t>
  </si>
  <si>
    <r>
      <t>25</t>
    </r>
    <r>
      <rPr>
        <sz val="11"/>
        <color theme="1"/>
        <rFont val="宋体"/>
        <family val="3"/>
        <charset val="134"/>
      </rPr>
      <t>Ω</t>
    </r>
    <phoneticPr fontId="1" type="noConversion"/>
  </si>
  <si>
    <t>供应商编号</t>
    <phoneticPr fontId="1" type="noConversion"/>
  </si>
  <si>
    <t>供应商名称</t>
    <phoneticPr fontId="1" type="noConversion"/>
  </si>
  <si>
    <t>基础数据表</t>
    <phoneticPr fontId="1" type="noConversion"/>
  </si>
  <si>
    <t>总计</t>
  </si>
  <si>
    <t>电容 汇总</t>
  </si>
  <si>
    <t>集成块 汇总</t>
  </si>
  <si>
    <t>电阻 汇总</t>
  </si>
  <si>
    <t>一车间</t>
  </si>
  <si>
    <t>二车间</t>
  </si>
  <si>
    <t>三车间</t>
  </si>
  <si>
    <t>四车间</t>
  </si>
  <si>
    <t>五车间</t>
  </si>
  <si>
    <t>维修部</t>
  </si>
  <si>
    <t>综合部</t>
  </si>
  <si>
    <t>YQJ-0003</t>
    <phoneticPr fontId="1" type="noConversion"/>
  </si>
  <si>
    <t>YQJ-0004</t>
    <phoneticPr fontId="1" type="noConversion"/>
  </si>
  <si>
    <t>JCK-0003</t>
    <phoneticPr fontId="1" type="noConversion"/>
  </si>
  <si>
    <t>XSQ-0002</t>
    <phoneticPr fontId="1" type="noConversion"/>
  </si>
  <si>
    <t>JCK-0004</t>
    <phoneticPr fontId="1" type="noConversion"/>
  </si>
  <si>
    <t>JCK-0005</t>
    <phoneticPr fontId="1" type="noConversion"/>
  </si>
  <si>
    <t>XSQ-0003</t>
    <phoneticPr fontId="1" type="noConversion"/>
  </si>
  <si>
    <t>XSQ-0004</t>
    <phoneticPr fontId="1" type="noConversion"/>
  </si>
  <si>
    <t>XSQ-0005</t>
    <phoneticPr fontId="1" type="noConversion"/>
  </si>
  <si>
    <t>月</t>
    <phoneticPr fontId="1" type="noConversion"/>
  </si>
  <si>
    <t>日</t>
    <phoneticPr fontId="1" type="noConversion"/>
  </si>
  <si>
    <t>部门编码</t>
    <phoneticPr fontId="1" type="noConversion"/>
  </si>
  <si>
    <t>部门名称</t>
    <phoneticPr fontId="1" type="noConversion"/>
  </si>
  <si>
    <t>凭证号</t>
    <phoneticPr fontId="7" type="noConversion"/>
  </si>
  <si>
    <t>材料编码</t>
    <phoneticPr fontId="7" type="noConversion"/>
  </si>
  <si>
    <t>材料类别</t>
    <phoneticPr fontId="7" type="noConversion"/>
  </si>
  <si>
    <t>规格型号</t>
    <phoneticPr fontId="1" type="noConversion"/>
  </si>
  <si>
    <t>单位</t>
    <phoneticPr fontId="7" type="noConversion"/>
  </si>
  <si>
    <t>申领数量</t>
    <phoneticPr fontId="7" type="noConversion"/>
  </si>
  <si>
    <t>单位成本</t>
    <phoneticPr fontId="7" type="noConversion"/>
  </si>
  <si>
    <t>金额</t>
    <phoneticPr fontId="7" type="noConversion"/>
  </si>
  <si>
    <t>bm002</t>
    <phoneticPr fontId="1" type="noConversion"/>
  </si>
  <si>
    <t>DR0001</t>
    <phoneticPr fontId="1" type="noConversion"/>
  </si>
  <si>
    <t>bm002</t>
    <phoneticPr fontId="1" type="noConversion"/>
  </si>
  <si>
    <t>bm002</t>
  </si>
  <si>
    <t>bm003</t>
  </si>
  <si>
    <t>DZ0001</t>
    <phoneticPr fontId="1" type="noConversion"/>
  </si>
  <si>
    <t>JCK001</t>
    <phoneticPr fontId="1" type="noConversion"/>
  </si>
  <si>
    <t>bm004</t>
  </si>
  <si>
    <t>DZ0001</t>
    <phoneticPr fontId="1" type="noConversion"/>
  </si>
  <si>
    <t>bm006</t>
  </si>
  <si>
    <t>bm005</t>
  </si>
  <si>
    <t>bm001</t>
    <phoneticPr fontId="1" type="noConversion"/>
  </si>
  <si>
    <t>bm001</t>
    <phoneticPr fontId="1" type="noConversion"/>
  </si>
  <si>
    <t>DZ0001</t>
    <phoneticPr fontId="1" type="noConversion"/>
  </si>
  <si>
    <t>bm001</t>
    <phoneticPr fontId="1" type="noConversion"/>
  </si>
  <si>
    <t>bm007</t>
  </si>
  <si>
    <t>DR0001</t>
    <phoneticPr fontId="1" type="noConversion"/>
  </si>
  <si>
    <t>DZ0001</t>
    <phoneticPr fontId="1" type="noConversion"/>
  </si>
  <si>
    <t>部门编码</t>
    <phoneticPr fontId="1" type="noConversion"/>
  </si>
  <si>
    <t>部门名称</t>
    <phoneticPr fontId="1" type="noConversion"/>
  </si>
  <si>
    <t>bm001</t>
    <phoneticPr fontId="1" type="noConversion"/>
  </si>
  <si>
    <t>一车间</t>
    <phoneticPr fontId="1" type="noConversion"/>
  </si>
  <si>
    <t>二车间</t>
    <phoneticPr fontId="1" type="noConversion"/>
  </si>
  <si>
    <t>三车间</t>
    <phoneticPr fontId="1" type="noConversion"/>
  </si>
  <si>
    <t>四车间</t>
    <phoneticPr fontId="1" type="noConversion"/>
  </si>
  <si>
    <t>五车间</t>
    <phoneticPr fontId="1" type="noConversion"/>
  </si>
  <si>
    <t>维修部</t>
    <phoneticPr fontId="1" type="noConversion"/>
  </si>
  <si>
    <t>综合部</t>
    <phoneticPr fontId="1" type="noConversion"/>
  </si>
  <si>
    <t>一车间 汇总</t>
  </si>
  <si>
    <t>二车间 汇总</t>
  </si>
  <si>
    <t>三车间 汇总</t>
  </si>
  <si>
    <t>四车间 汇总</t>
  </si>
  <si>
    <t>五车间 汇总</t>
  </si>
  <si>
    <t>维修部 汇总</t>
  </si>
  <si>
    <t>综合部 汇总</t>
  </si>
  <si>
    <t>集成块 汇总 汇总</t>
  </si>
  <si>
    <t>实发数量</t>
    <phoneticPr fontId="7" type="noConversion"/>
  </si>
  <si>
    <t>材料出库汇总表</t>
    <phoneticPr fontId="7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</si>
</sst>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_);[Red]\(0.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24"/>
      <color theme="1"/>
      <name val="微软雅黑"/>
      <family val="2"/>
      <charset val="134"/>
    </font>
    <font>
      <b/>
      <sz val="11"/>
      <color theme="0"/>
      <name val="宋体"/>
      <family val="3"/>
      <charset val="134"/>
      <scheme val="minor"/>
    </font>
    <font>
      <b/>
      <sz val="11"/>
      <color theme="1"/>
      <name val="华文中宋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2"/>
      <charset val="134"/>
      <scheme val="minor"/>
    </font>
    <font>
      <b/>
      <sz val="26"/>
      <color theme="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  <protection hidden="1"/>
    </xf>
    <xf numFmtId="0" fontId="0" fillId="4" borderId="0" xfId="0" applyFill="1">
      <alignment vertical="center"/>
    </xf>
    <xf numFmtId="0" fontId="6" fillId="4" borderId="5" xfId="0" applyFont="1" applyFill="1" applyBorder="1" applyAlignment="1" applyProtection="1">
      <alignment horizontal="center" vertical="center"/>
      <protection hidden="1"/>
    </xf>
    <xf numFmtId="176" fontId="9" fillId="4" borderId="7" xfId="1" applyNumberFormat="1" applyFont="1" applyFill="1" applyBorder="1" applyAlignment="1">
      <alignment horizontal="center" vertical="center"/>
    </xf>
    <xf numFmtId="0" fontId="8" fillId="4" borderId="0" xfId="0" applyFont="1" applyFill="1">
      <alignment vertical="center"/>
    </xf>
    <xf numFmtId="0" fontId="10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6" fontId="9" fillId="4" borderId="12" xfId="1" applyNumberFormat="1" applyFont="1" applyFill="1" applyBorder="1" applyAlignment="1">
      <alignment horizontal="center"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10" xfId="0" applyFill="1" applyBorder="1">
      <alignment vertical="center"/>
    </xf>
    <xf numFmtId="0" fontId="10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hidden="1"/>
    </xf>
  </cellXfs>
  <cellStyles count="4">
    <cellStyle name="常规" xfId="0" builtinId="0"/>
    <cellStyle name="常规 2" xfId="2"/>
    <cellStyle name="千位分隔" xfId="1" builtinId="3"/>
    <cellStyle name="千位分隔 2" xfId="3"/>
  </cellStyles>
  <dxfs count="0"/>
  <tableStyles count="0" defaultTableStyle="TableStyleMedium2" defaultPivotStyle="PivotStyleLight16"/>
  <colors>
    <mruColors>
      <color rgb="FFD9F5F2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C3" sqref="C3:C21"/>
    </sheetView>
  </sheetViews>
  <sheetFormatPr defaultRowHeight="13.5"/>
  <cols>
    <col min="1" max="1" width="12.625" customWidth="1"/>
    <col min="2" max="2" width="11.25" customWidth="1"/>
    <col min="3" max="3" width="10.5" customWidth="1"/>
    <col min="4" max="4" width="10.25" customWidth="1"/>
    <col min="5" max="5" width="10.5" customWidth="1"/>
    <col min="6" max="6" width="9.75" customWidth="1"/>
  </cols>
  <sheetData>
    <row r="1" spans="1:7" ht="36.75" customHeight="1">
      <c r="A1" s="23" t="s">
        <v>75</v>
      </c>
      <c r="B1" s="23"/>
      <c r="C1" s="23"/>
      <c r="D1" s="23"/>
      <c r="E1" s="23"/>
      <c r="F1" s="23"/>
      <c r="G1" s="23"/>
    </row>
    <row r="2" spans="1:7" ht="21" customHeight="1">
      <c r="A2" s="1" t="s">
        <v>73</v>
      </c>
      <c r="B2" s="1" t="s">
        <v>74</v>
      </c>
      <c r="C2" s="1" t="s">
        <v>26</v>
      </c>
      <c r="D2" s="1" t="s">
        <v>27</v>
      </c>
      <c r="E2" s="1" t="s">
        <v>28</v>
      </c>
      <c r="F2" s="1" t="s">
        <v>29</v>
      </c>
      <c r="G2" s="1" t="s">
        <v>30</v>
      </c>
    </row>
    <row r="3" spans="1:7">
      <c r="A3" s="3" t="s">
        <v>0</v>
      </c>
      <c r="B3" s="3" t="s">
        <v>10</v>
      </c>
      <c r="C3" s="2" t="s">
        <v>31</v>
      </c>
      <c r="D3" s="2" t="s">
        <v>32</v>
      </c>
      <c r="E3" s="2" t="s">
        <v>72</v>
      </c>
      <c r="F3" s="2" t="s">
        <v>33</v>
      </c>
      <c r="G3" s="2">
        <v>0.25</v>
      </c>
    </row>
    <row r="4" spans="1:7">
      <c r="A4" s="3" t="s">
        <v>1</v>
      </c>
      <c r="B4" s="3" t="s">
        <v>10</v>
      </c>
      <c r="C4" s="2" t="s">
        <v>34</v>
      </c>
      <c r="D4" s="2" t="s">
        <v>32</v>
      </c>
      <c r="E4" s="2" t="s">
        <v>35</v>
      </c>
      <c r="F4" s="2" t="s">
        <v>33</v>
      </c>
      <c r="G4" s="2">
        <v>0.33</v>
      </c>
    </row>
    <row r="5" spans="1:7">
      <c r="A5" s="2" t="s">
        <v>87</v>
      </c>
      <c r="B5" s="2" t="s">
        <v>11</v>
      </c>
      <c r="C5" s="2" t="s">
        <v>36</v>
      </c>
      <c r="D5" s="2" t="s">
        <v>32</v>
      </c>
      <c r="E5" s="2" t="s">
        <v>37</v>
      </c>
      <c r="F5" s="2" t="s">
        <v>33</v>
      </c>
      <c r="G5" s="2">
        <v>0.57999999999999996</v>
      </c>
    </row>
    <row r="6" spans="1:7">
      <c r="A6" s="2" t="s">
        <v>88</v>
      </c>
      <c r="B6" s="2" t="s">
        <v>12</v>
      </c>
      <c r="C6" s="2" t="s">
        <v>38</v>
      </c>
      <c r="D6" s="2" t="s">
        <v>32</v>
      </c>
      <c r="E6" s="2" t="s">
        <v>39</v>
      </c>
      <c r="F6" s="2" t="s">
        <v>33</v>
      </c>
      <c r="G6" s="2">
        <v>0.89</v>
      </c>
    </row>
    <row r="7" spans="1:7">
      <c r="A7" s="3" t="s">
        <v>2</v>
      </c>
      <c r="B7" s="3" t="s">
        <v>13</v>
      </c>
      <c r="C7" s="2" t="s">
        <v>40</v>
      </c>
      <c r="D7" s="2" t="s">
        <v>32</v>
      </c>
      <c r="E7" s="2" t="s">
        <v>41</v>
      </c>
      <c r="F7" s="2" t="s">
        <v>33</v>
      </c>
      <c r="G7" s="2">
        <v>0.21</v>
      </c>
    </row>
    <row r="8" spans="1:7">
      <c r="A8" s="3" t="s">
        <v>3</v>
      </c>
      <c r="B8" s="3" t="s">
        <v>13</v>
      </c>
      <c r="C8" s="2" t="s">
        <v>42</v>
      </c>
      <c r="D8" s="2" t="s">
        <v>32</v>
      </c>
      <c r="E8" s="2" t="s">
        <v>43</v>
      </c>
      <c r="F8" s="2" t="s">
        <v>33</v>
      </c>
      <c r="G8" s="2">
        <v>0.36</v>
      </c>
    </row>
    <row r="9" spans="1:7">
      <c r="A9" s="2" t="s">
        <v>89</v>
      </c>
      <c r="B9" s="2" t="s">
        <v>14</v>
      </c>
      <c r="C9" s="2" t="s">
        <v>44</v>
      </c>
      <c r="D9" s="2" t="s">
        <v>45</v>
      </c>
      <c r="E9" s="2" t="s">
        <v>46</v>
      </c>
      <c r="F9" s="2" t="s">
        <v>33</v>
      </c>
      <c r="G9" s="2">
        <v>0.78</v>
      </c>
    </row>
    <row r="10" spans="1:7">
      <c r="A10" s="2" t="s">
        <v>91</v>
      </c>
      <c r="B10" s="2" t="s">
        <v>15</v>
      </c>
      <c r="C10" s="2" t="s">
        <v>47</v>
      </c>
      <c r="D10" s="2" t="s">
        <v>45</v>
      </c>
      <c r="E10" s="2" t="s">
        <v>48</v>
      </c>
      <c r="F10" s="2" t="s">
        <v>33</v>
      </c>
      <c r="G10" s="2">
        <v>0.65</v>
      </c>
    </row>
    <row r="11" spans="1:7">
      <c r="A11" s="2" t="s">
        <v>92</v>
      </c>
      <c r="B11" s="2" t="s">
        <v>16</v>
      </c>
      <c r="C11" s="2" t="s">
        <v>49</v>
      </c>
      <c r="D11" s="2" t="s">
        <v>45</v>
      </c>
      <c r="E11" s="2" t="s">
        <v>50</v>
      </c>
      <c r="F11" s="2" t="s">
        <v>33</v>
      </c>
      <c r="G11" s="2">
        <v>0.75</v>
      </c>
    </row>
    <row r="12" spans="1:7">
      <c r="A12" s="3" t="s">
        <v>4</v>
      </c>
      <c r="B12" s="3" t="s">
        <v>17</v>
      </c>
      <c r="C12" s="2" t="s">
        <v>51</v>
      </c>
      <c r="D12" s="2" t="s">
        <v>45</v>
      </c>
      <c r="E12" s="2" t="s">
        <v>52</v>
      </c>
      <c r="F12" s="2" t="s">
        <v>33</v>
      </c>
      <c r="G12" s="2">
        <v>0.85</v>
      </c>
    </row>
    <row r="13" spans="1:7">
      <c r="A13" s="3" t="s">
        <v>90</v>
      </c>
      <c r="B13" s="3" t="s">
        <v>17</v>
      </c>
      <c r="C13" s="2" t="s">
        <v>53</v>
      </c>
      <c r="D13" s="2" t="s">
        <v>45</v>
      </c>
      <c r="E13" s="2" t="s">
        <v>54</v>
      </c>
      <c r="F13" s="2" t="s">
        <v>33</v>
      </c>
      <c r="G13" s="2">
        <v>0.9</v>
      </c>
    </row>
    <row r="14" spans="1:7">
      <c r="A14" s="2" t="s">
        <v>93</v>
      </c>
      <c r="B14" s="2" t="s">
        <v>18</v>
      </c>
      <c r="C14" s="2" t="s">
        <v>55</v>
      </c>
      <c r="D14" s="2" t="s">
        <v>45</v>
      </c>
      <c r="E14" s="2" t="s">
        <v>56</v>
      </c>
      <c r="F14" s="2" t="s">
        <v>33</v>
      </c>
      <c r="G14" s="2">
        <v>0.55000000000000004</v>
      </c>
    </row>
    <row r="15" spans="1:7">
      <c r="A15" s="2" t="s">
        <v>94</v>
      </c>
      <c r="B15" s="2" t="s">
        <v>19</v>
      </c>
      <c r="C15" s="2" t="s">
        <v>57</v>
      </c>
      <c r="D15" s="2" t="s">
        <v>58</v>
      </c>
      <c r="E15" s="2" t="s">
        <v>59</v>
      </c>
      <c r="F15" s="2" t="s">
        <v>33</v>
      </c>
      <c r="G15" s="2">
        <v>58.5</v>
      </c>
    </row>
    <row r="16" spans="1:7">
      <c r="A16" s="2" t="s">
        <v>95</v>
      </c>
      <c r="B16" s="2" t="s">
        <v>20</v>
      </c>
      <c r="C16" s="2" t="s">
        <v>60</v>
      </c>
      <c r="D16" s="2" t="s">
        <v>58</v>
      </c>
      <c r="E16" s="2" t="s">
        <v>61</v>
      </c>
      <c r="F16" s="2" t="s">
        <v>33</v>
      </c>
      <c r="G16" s="2">
        <v>75.599999999999994</v>
      </c>
    </row>
    <row r="17" spans="1:7">
      <c r="A17" s="2" t="s">
        <v>5</v>
      </c>
      <c r="B17" s="2" t="s">
        <v>21</v>
      </c>
      <c r="C17" s="2" t="s">
        <v>62</v>
      </c>
      <c r="D17" s="2" t="s">
        <v>58</v>
      </c>
      <c r="E17" s="2" t="s">
        <v>63</v>
      </c>
      <c r="F17" s="2" t="s">
        <v>33</v>
      </c>
      <c r="G17" s="2">
        <v>124.85</v>
      </c>
    </row>
    <row r="18" spans="1:7">
      <c r="A18" s="2" t="s">
        <v>6</v>
      </c>
      <c r="B18" s="2" t="s">
        <v>22</v>
      </c>
      <c r="C18" s="2" t="s">
        <v>64</v>
      </c>
      <c r="D18" s="2" t="s">
        <v>58</v>
      </c>
      <c r="E18" s="2" t="s">
        <v>65</v>
      </c>
      <c r="F18" s="2" t="s">
        <v>33</v>
      </c>
      <c r="G18" s="2">
        <v>320</v>
      </c>
    </row>
    <row r="19" spans="1:7">
      <c r="A19" s="2" t="s">
        <v>7</v>
      </c>
      <c r="B19" s="2" t="s">
        <v>23</v>
      </c>
      <c r="C19" s="2" t="s">
        <v>66</v>
      </c>
      <c r="D19" s="2" t="s">
        <v>58</v>
      </c>
      <c r="E19" s="2" t="s">
        <v>67</v>
      </c>
      <c r="F19" s="2" t="s">
        <v>33</v>
      </c>
      <c r="G19" s="2">
        <v>70</v>
      </c>
    </row>
    <row r="20" spans="1:7">
      <c r="A20" s="2" t="s">
        <v>8</v>
      </c>
      <c r="B20" s="2" t="s">
        <v>24</v>
      </c>
      <c r="C20" s="2" t="s">
        <v>68</v>
      </c>
      <c r="D20" s="2" t="s">
        <v>58</v>
      </c>
      <c r="E20" s="2" t="s">
        <v>69</v>
      </c>
      <c r="F20" s="2" t="s">
        <v>33</v>
      </c>
      <c r="G20" s="2">
        <v>185</v>
      </c>
    </row>
    <row r="21" spans="1:7">
      <c r="A21" s="2" t="s">
        <v>9</v>
      </c>
      <c r="B21" s="2" t="s">
        <v>25</v>
      </c>
      <c r="C21" s="2" t="s">
        <v>70</v>
      </c>
      <c r="D21" s="2" t="s">
        <v>58</v>
      </c>
      <c r="E21" s="2" t="s">
        <v>71</v>
      </c>
      <c r="F21" s="2" t="s">
        <v>33</v>
      </c>
      <c r="G21" s="2">
        <v>412.5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N94"/>
  <sheetViews>
    <sheetView tabSelected="1" zoomScaleNormal="100" workbookViewId="0">
      <selection activeCell="Q17" sqref="Q17"/>
    </sheetView>
  </sheetViews>
  <sheetFormatPr defaultRowHeight="13.5" outlineLevelRow="4"/>
  <cols>
    <col min="1" max="1" width="4" style="10" customWidth="1"/>
    <col min="2" max="3" width="3.75" style="10" bestFit="1" customWidth="1"/>
    <col min="4" max="4" width="8.375" style="10" customWidth="1"/>
    <col min="5" max="5" width="9.875" style="10" customWidth="1"/>
    <col min="6" max="6" width="12.75" style="10" bestFit="1" customWidth="1"/>
    <col min="7" max="7" width="11" style="10" customWidth="1"/>
    <col min="8" max="10" width="9" style="10"/>
    <col min="11" max="11" width="10.75" style="10" customWidth="1"/>
    <col min="12" max="12" width="13.375" style="10" customWidth="1"/>
    <col min="13" max="13" width="9" style="10"/>
    <col min="14" max="14" width="13" style="10" customWidth="1"/>
    <col min="15" max="16384" width="9" style="10"/>
  </cols>
  <sheetData>
    <row r="1" spans="2:14" ht="25.5" customHeight="1"/>
    <row r="2" spans="2:14" ht="56.25" customHeight="1">
      <c r="B2" s="24" t="s">
        <v>145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2:14" ht="13.5" customHeight="1" thickBot="1"/>
    <row r="4" spans="2:14" ht="22.5" customHeight="1">
      <c r="B4" s="6" t="s">
        <v>96</v>
      </c>
      <c r="C4" s="7" t="s">
        <v>97</v>
      </c>
      <c r="D4" s="7" t="s">
        <v>98</v>
      </c>
      <c r="E4" s="7" t="s">
        <v>99</v>
      </c>
      <c r="F4" s="9" t="s">
        <v>100</v>
      </c>
      <c r="G4" s="9" t="s">
        <v>101</v>
      </c>
      <c r="H4" s="9" t="s">
        <v>102</v>
      </c>
      <c r="I4" s="9" t="s">
        <v>103</v>
      </c>
      <c r="J4" s="9" t="s">
        <v>104</v>
      </c>
      <c r="K4" s="9" t="s">
        <v>105</v>
      </c>
      <c r="L4" s="9" t="s">
        <v>144</v>
      </c>
      <c r="M4" s="9" t="s">
        <v>106</v>
      </c>
      <c r="N4" s="11" t="s">
        <v>107</v>
      </c>
    </row>
    <row r="5" spans="2:14" s="13" customFormat="1" ht="12" outlineLevel="4">
      <c r="B5" s="4">
        <v>6</v>
      </c>
      <c r="C5" s="5">
        <v>19</v>
      </c>
      <c r="D5" s="8" t="s">
        <v>119</v>
      </c>
      <c r="E5" s="8" t="s">
        <v>80</v>
      </c>
      <c r="F5" s="8">
        <v>2012060001</v>
      </c>
      <c r="G5" s="8" t="s">
        <v>53</v>
      </c>
      <c r="H5" s="8" t="str">
        <f>VLOOKUP(G5,基础数据表!C:G,2,FALSE)</f>
        <v>电容</v>
      </c>
      <c r="I5" s="8" t="str">
        <f>VLOOKUP(G5,基础数据表!C:G,3,FALSE)</f>
        <v>25F</v>
      </c>
      <c r="J5" s="8" t="str">
        <f>VLOOKUP(G5,基础数据表!C:G,4,FALSE)</f>
        <v>支</v>
      </c>
      <c r="K5" s="5">
        <v>241</v>
      </c>
      <c r="L5" s="8">
        <f>K5</f>
        <v>241</v>
      </c>
      <c r="M5" s="8">
        <f>VLOOKUP(G5,基础数据表!C:G,5,FALSE)</f>
        <v>0.9</v>
      </c>
      <c r="N5" s="12">
        <f>IF(G5="","",ROUND(L5*M5,2))</f>
        <v>216.9</v>
      </c>
    </row>
    <row r="6" spans="2:14" s="13" customFormat="1" ht="12" outlineLevel="3">
      <c r="B6" s="4"/>
      <c r="C6" s="5"/>
      <c r="D6" s="8"/>
      <c r="E6" s="8"/>
      <c r="F6" s="8"/>
      <c r="G6" s="8"/>
      <c r="H6" s="14" t="s">
        <v>77</v>
      </c>
      <c r="I6" s="8"/>
      <c r="J6" s="8"/>
      <c r="K6" s="5"/>
      <c r="L6" s="8">
        <f>SUBTOTAL(9,L5:L5)</f>
        <v>241</v>
      </c>
      <c r="M6" s="8"/>
      <c r="N6" s="12">
        <f>SUBTOTAL(9,N5:N5)</f>
        <v>216.9</v>
      </c>
    </row>
    <row r="7" spans="2:14" s="13" customFormat="1" ht="12" outlineLevel="4">
      <c r="B7" s="4">
        <v>6</v>
      </c>
      <c r="C7" s="8">
        <v>1</v>
      </c>
      <c r="D7" s="8" t="s">
        <v>120</v>
      </c>
      <c r="E7" s="8" t="s">
        <v>80</v>
      </c>
      <c r="F7" s="8">
        <v>2012060001</v>
      </c>
      <c r="G7" s="8" t="s">
        <v>121</v>
      </c>
      <c r="H7" s="8" t="str">
        <f>VLOOKUP(G7,基础数据表!C:G,2,FALSE)</f>
        <v>电阻</v>
      </c>
      <c r="I7" s="8" t="str">
        <f>VLOOKUP(G7,基础数据表!C:G,3,FALSE)</f>
        <v>25Ω</v>
      </c>
      <c r="J7" s="8" t="str">
        <f>VLOOKUP(G7,基础数据表!C:G,4,FALSE)</f>
        <v>支</v>
      </c>
      <c r="K7" s="8">
        <v>5000</v>
      </c>
      <c r="L7" s="8">
        <f t="shared" ref="L7:L12" si="0">K7</f>
        <v>5000</v>
      </c>
      <c r="M7" s="8">
        <f>VLOOKUP(G7,基础数据表!C:G,5,FALSE)</f>
        <v>0.25</v>
      </c>
      <c r="N7" s="12">
        <f t="shared" ref="N7:N12" si="1">IF(G7="","",ROUND(L7*M7,2))</f>
        <v>1250</v>
      </c>
    </row>
    <row r="8" spans="2:14" s="13" customFormat="1" ht="12" outlineLevel="4">
      <c r="B8" s="4">
        <v>6</v>
      </c>
      <c r="C8" s="8">
        <v>1</v>
      </c>
      <c r="D8" s="8" t="s">
        <v>122</v>
      </c>
      <c r="E8" s="8" t="s">
        <v>80</v>
      </c>
      <c r="F8" s="8">
        <v>2012060001</v>
      </c>
      <c r="G8" s="8" t="s">
        <v>34</v>
      </c>
      <c r="H8" s="8" t="str">
        <f>VLOOKUP(G8,基础数据表!C:G,2,FALSE)</f>
        <v>电阻</v>
      </c>
      <c r="I8" s="8" t="str">
        <f>VLOOKUP(G8,基础数据表!C:G,3,FALSE)</f>
        <v>32Ω</v>
      </c>
      <c r="J8" s="8" t="str">
        <f>VLOOKUP(G8,基础数据表!C:G,4,FALSE)</f>
        <v>支</v>
      </c>
      <c r="K8" s="8">
        <v>7500</v>
      </c>
      <c r="L8" s="8">
        <f t="shared" si="0"/>
        <v>7500</v>
      </c>
      <c r="M8" s="8">
        <f>VLOOKUP(G8,基础数据表!C:G,5,FALSE)</f>
        <v>0.33</v>
      </c>
      <c r="N8" s="12">
        <f t="shared" si="1"/>
        <v>2475</v>
      </c>
    </row>
    <row r="9" spans="2:14" s="13" customFormat="1" ht="12" outlineLevel="4">
      <c r="B9" s="15">
        <v>6</v>
      </c>
      <c r="C9" s="17">
        <v>1</v>
      </c>
      <c r="D9" s="17" t="s">
        <v>122</v>
      </c>
      <c r="E9" s="17" t="s">
        <v>80</v>
      </c>
      <c r="F9" s="17">
        <v>2012060001</v>
      </c>
      <c r="G9" s="17" t="s">
        <v>36</v>
      </c>
      <c r="H9" s="17" t="str">
        <f>VLOOKUP(G9,基础数据表!C:G,2,FALSE)</f>
        <v>电阻</v>
      </c>
      <c r="I9" s="17" t="str">
        <f>VLOOKUP(G9,基础数据表!C:G,3,FALSE)</f>
        <v>100Ω</v>
      </c>
      <c r="J9" s="17" t="str">
        <f>VLOOKUP(G9,基础数据表!C:G,4,FALSE)</f>
        <v>支</v>
      </c>
      <c r="K9" s="17">
        <v>800</v>
      </c>
      <c r="L9" s="17">
        <f t="shared" si="0"/>
        <v>800</v>
      </c>
      <c r="M9" s="17">
        <f>VLOOKUP(G9,基础数据表!C:G,5,FALSE)</f>
        <v>0.57999999999999996</v>
      </c>
      <c r="N9" s="18">
        <f t="shared" si="1"/>
        <v>464</v>
      </c>
    </row>
    <row r="10" spans="2:14" s="13" customFormat="1" ht="12" outlineLevel="4">
      <c r="B10" s="4">
        <v>6</v>
      </c>
      <c r="C10" s="8">
        <v>1</v>
      </c>
      <c r="D10" s="8" t="s">
        <v>122</v>
      </c>
      <c r="E10" s="8" t="s">
        <v>80</v>
      </c>
      <c r="F10" s="8">
        <v>2012060001</v>
      </c>
      <c r="G10" s="8" t="s">
        <v>38</v>
      </c>
      <c r="H10" s="8" t="str">
        <f>VLOOKUP(G10,基础数据表!C:G,2,FALSE)</f>
        <v>电阻</v>
      </c>
      <c r="I10" s="8" t="str">
        <f>VLOOKUP(G10,基础数据表!C:G,3,FALSE)</f>
        <v>320Ω</v>
      </c>
      <c r="J10" s="8" t="str">
        <f>VLOOKUP(G10,基础数据表!C:G,4,FALSE)</f>
        <v>支</v>
      </c>
      <c r="K10" s="8">
        <v>1200</v>
      </c>
      <c r="L10" s="8">
        <f t="shared" si="0"/>
        <v>1200</v>
      </c>
      <c r="M10" s="8">
        <f>VLOOKUP(G10,基础数据表!C:G,5,FALSE)</f>
        <v>0.89</v>
      </c>
      <c r="N10" s="12">
        <f t="shared" si="1"/>
        <v>1068</v>
      </c>
    </row>
    <row r="11" spans="2:14" s="13" customFormat="1" ht="12" outlineLevel="4">
      <c r="B11" s="4">
        <v>6</v>
      </c>
      <c r="C11" s="8">
        <v>1</v>
      </c>
      <c r="D11" s="8" t="s">
        <v>120</v>
      </c>
      <c r="E11" s="8" t="s">
        <v>80</v>
      </c>
      <c r="F11" s="8">
        <v>2012060001</v>
      </c>
      <c r="G11" s="8" t="s">
        <v>40</v>
      </c>
      <c r="H11" s="8" t="str">
        <f>VLOOKUP(G11,基础数据表!C:G,2,FALSE)</f>
        <v>电阻</v>
      </c>
      <c r="I11" s="8" t="str">
        <f>VLOOKUP(G11,基础数据表!C:G,3,FALSE)</f>
        <v>29Ω</v>
      </c>
      <c r="J11" s="8" t="str">
        <f>VLOOKUP(G11,基础数据表!C:G,4,FALSE)</f>
        <v>支</v>
      </c>
      <c r="K11" s="8">
        <v>500</v>
      </c>
      <c r="L11" s="8">
        <f t="shared" si="0"/>
        <v>500</v>
      </c>
      <c r="M11" s="8">
        <f>VLOOKUP(G11,基础数据表!C:G,5,FALSE)</f>
        <v>0.21</v>
      </c>
      <c r="N11" s="12">
        <f t="shared" si="1"/>
        <v>105</v>
      </c>
    </row>
    <row r="12" spans="2:14" s="13" customFormat="1" ht="12" outlineLevel="4">
      <c r="B12" s="4">
        <v>6</v>
      </c>
      <c r="C12" s="8">
        <v>1</v>
      </c>
      <c r="D12" s="8" t="s">
        <v>120</v>
      </c>
      <c r="E12" s="8" t="s">
        <v>80</v>
      </c>
      <c r="F12" s="8">
        <v>2012060001</v>
      </c>
      <c r="G12" s="8" t="s">
        <v>42</v>
      </c>
      <c r="H12" s="8" t="str">
        <f>VLOOKUP(G12,基础数据表!C:G,2,FALSE)</f>
        <v>电阻</v>
      </c>
      <c r="I12" s="8" t="str">
        <f>VLOOKUP(G12,基础数据表!C:G,3,FALSE)</f>
        <v>30Ω</v>
      </c>
      <c r="J12" s="8" t="str">
        <f>VLOOKUP(G12,基础数据表!C:G,4,FALSE)</f>
        <v>支</v>
      </c>
      <c r="K12" s="8">
        <v>310</v>
      </c>
      <c r="L12" s="8">
        <f t="shared" si="0"/>
        <v>310</v>
      </c>
      <c r="M12" s="8">
        <f>VLOOKUP(G12,基础数据表!C:G,5,FALSE)</f>
        <v>0.36</v>
      </c>
      <c r="N12" s="12">
        <f t="shared" si="1"/>
        <v>111.6</v>
      </c>
    </row>
    <row r="13" spans="2:14" s="13" customFormat="1" ht="12" outlineLevel="3">
      <c r="B13" s="4"/>
      <c r="C13" s="8"/>
      <c r="D13" s="8"/>
      <c r="E13" s="8"/>
      <c r="F13" s="8"/>
      <c r="G13" s="8"/>
      <c r="H13" s="14" t="s">
        <v>79</v>
      </c>
      <c r="I13" s="8"/>
      <c r="J13" s="8"/>
      <c r="K13" s="8"/>
      <c r="L13" s="8">
        <f>SUBTOTAL(9,L7:L12)</f>
        <v>15310</v>
      </c>
      <c r="M13" s="8"/>
      <c r="N13" s="12">
        <f>SUBTOTAL(9,N7:N12)</f>
        <v>5473.6</v>
      </c>
    </row>
    <row r="14" spans="2:14" s="13" customFormat="1" ht="12" outlineLevel="4">
      <c r="B14" s="4">
        <v>6</v>
      </c>
      <c r="C14" s="5">
        <v>25</v>
      </c>
      <c r="D14" s="8" t="s">
        <v>120</v>
      </c>
      <c r="E14" s="8" t="s">
        <v>80</v>
      </c>
      <c r="F14" s="8">
        <v>2012060001</v>
      </c>
      <c r="G14" s="8" t="s">
        <v>68</v>
      </c>
      <c r="H14" s="8" t="str">
        <f>VLOOKUP(G14,基础数据表!C:G,2,FALSE)</f>
        <v>集成块</v>
      </c>
      <c r="I14" s="8" t="str">
        <f>VLOOKUP(G14,基础数据表!C:G,3,FALSE)</f>
        <v>AEu9144</v>
      </c>
      <c r="J14" s="8" t="str">
        <f>VLOOKUP(G14,基础数据表!C:G,4,FALSE)</f>
        <v>支</v>
      </c>
      <c r="K14" s="5">
        <v>45</v>
      </c>
      <c r="L14" s="8">
        <f>K14</f>
        <v>45</v>
      </c>
      <c r="M14" s="8">
        <f>VLOOKUP(G14,基础数据表!C:G,5,FALSE)</f>
        <v>185</v>
      </c>
      <c r="N14" s="12">
        <f>IF(G14="","",ROUND(L14*M14,2))</f>
        <v>8325</v>
      </c>
    </row>
    <row r="15" spans="2:14" s="13" customFormat="1" ht="12" outlineLevel="3">
      <c r="B15" s="4"/>
      <c r="C15" s="5"/>
      <c r="D15" s="8"/>
      <c r="E15" s="8"/>
      <c r="F15" s="8"/>
      <c r="G15" s="8"/>
      <c r="H15" s="14" t="s">
        <v>78</v>
      </c>
      <c r="I15" s="8"/>
      <c r="J15" s="8"/>
      <c r="K15" s="5"/>
      <c r="L15" s="8">
        <f>SUBTOTAL(9,L14:L14)</f>
        <v>45</v>
      </c>
      <c r="M15" s="8"/>
      <c r="N15" s="12">
        <f>SUBTOTAL(9,N14:N14)</f>
        <v>8325</v>
      </c>
    </row>
    <row r="16" spans="2:14" s="13" customFormat="1" ht="12" outlineLevel="2">
      <c r="B16" s="4"/>
      <c r="C16" s="5"/>
      <c r="D16" s="8"/>
      <c r="E16" s="14" t="s">
        <v>136</v>
      </c>
      <c r="F16" s="8"/>
      <c r="G16" s="8"/>
      <c r="H16" s="8"/>
      <c r="I16" s="8"/>
      <c r="J16" s="8"/>
      <c r="K16" s="5"/>
      <c r="L16" s="8">
        <f>SUBTOTAL(9,L5:L14)</f>
        <v>15596</v>
      </c>
      <c r="M16" s="8"/>
      <c r="N16" s="12">
        <f>SUBTOTAL(9,N5:N14)</f>
        <v>14015.5</v>
      </c>
    </row>
    <row r="17" spans="2:14" s="13" customFormat="1" ht="12" outlineLevel="4">
      <c r="B17" s="4">
        <v>6</v>
      </c>
      <c r="C17" s="8">
        <v>5</v>
      </c>
      <c r="D17" s="8" t="s">
        <v>108</v>
      </c>
      <c r="E17" s="8" t="s">
        <v>81</v>
      </c>
      <c r="F17" s="8">
        <v>2012060001</v>
      </c>
      <c r="G17" s="8" t="s">
        <v>109</v>
      </c>
      <c r="H17" s="8" t="str">
        <f>VLOOKUP(G17,基础数据表!C:G,2,FALSE)</f>
        <v>电容</v>
      </c>
      <c r="I17" s="8" t="str">
        <f>VLOOKUP(G17,基础数据表!C:G,3,FALSE)</f>
        <v>10F</v>
      </c>
      <c r="J17" s="8" t="str">
        <f>VLOOKUP(G17,基础数据表!C:G,4,FALSE)</f>
        <v>支</v>
      </c>
      <c r="K17" s="8">
        <v>200</v>
      </c>
      <c r="L17" s="8">
        <v>250</v>
      </c>
      <c r="M17" s="8">
        <f>VLOOKUP(G17,基础数据表!C:G,5,FALSE)</f>
        <v>0.78</v>
      </c>
      <c r="N17" s="12">
        <f>IF(G17="","",ROUND(L17*M17,2))</f>
        <v>195</v>
      </c>
    </row>
    <row r="18" spans="2:14" s="13" customFormat="1" ht="12" outlineLevel="4">
      <c r="B18" s="4">
        <v>6</v>
      </c>
      <c r="C18" s="8">
        <v>10</v>
      </c>
      <c r="D18" s="8" t="s">
        <v>108</v>
      </c>
      <c r="E18" s="8" t="s">
        <v>81</v>
      </c>
      <c r="F18" s="8">
        <v>2012060001</v>
      </c>
      <c r="G18" s="8" t="s">
        <v>49</v>
      </c>
      <c r="H18" s="8" t="str">
        <f>VLOOKUP(G18,基础数据表!C:G,2,FALSE)</f>
        <v>电容</v>
      </c>
      <c r="I18" s="8" t="str">
        <f>VLOOKUP(G18,基础数据表!C:G,3,FALSE)</f>
        <v>50F</v>
      </c>
      <c r="J18" s="8" t="str">
        <f>VLOOKUP(G18,基础数据表!C:G,4,FALSE)</f>
        <v>支</v>
      </c>
      <c r="K18" s="8">
        <v>520</v>
      </c>
      <c r="L18" s="8">
        <v>360</v>
      </c>
      <c r="M18" s="8">
        <f>VLOOKUP(G18,基础数据表!C:G,5,FALSE)</f>
        <v>0.75</v>
      </c>
      <c r="N18" s="12">
        <f>IF(G18="","",ROUND(L18*M18,2))</f>
        <v>270</v>
      </c>
    </row>
    <row r="19" spans="2:14" s="13" customFormat="1" ht="12" outlineLevel="4">
      <c r="B19" s="4">
        <v>6</v>
      </c>
      <c r="C19" s="8">
        <v>10</v>
      </c>
      <c r="D19" s="8" t="s">
        <v>110</v>
      </c>
      <c r="E19" s="8" t="s">
        <v>81</v>
      </c>
      <c r="F19" s="8">
        <v>2012060001</v>
      </c>
      <c r="G19" s="8" t="s">
        <v>53</v>
      </c>
      <c r="H19" s="8" t="str">
        <f>VLOOKUP(G19,基础数据表!C:G,2,FALSE)</f>
        <v>电容</v>
      </c>
      <c r="I19" s="8" t="str">
        <f>VLOOKUP(G19,基础数据表!C:G,3,FALSE)</f>
        <v>25F</v>
      </c>
      <c r="J19" s="8" t="str">
        <f>VLOOKUP(G19,基础数据表!C:G,4,FALSE)</f>
        <v>支</v>
      </c>
      <c r="K19" s="8">
        <v>400</v>
      </c>
      <c r="L19" s="8">
        <f>K19</f>
        <v>400</v>
      </c>
      <c r="M19" s="8">
        <f>VLOOKUP(G19,基础数据表!C:G,5,FALSE)</f>
        <v>0.9</v>
      </c>
      <c r="N19" s="12">
        <f>IF(G19="","",ROUND(L19*M19,2))</f>
        <v>360</v>
      </c>
    </row>
    <row r="20" spans="2:14" s="13" customFormat="1" ht="12" outlineLevel="4">
      <c r="B20" s="4">
        <v>6</v>
      </c>
      <c r="C20" s="5">
        <v>19</v>
      </c>
      <c r="D20" s="8" t="s">
        <v>111</v>
      </c>
      <c r="E20" s="8" t="s">
        <v>81</v>
      </c>
      <c r="F20" s="8">
        <v>2012060001</v>
      </c>
      <c r="G20" s="8" t="s">
        <v>55</v>
      </c>
      <c r="H20" s="8" t="str">
        <f>VLOOKUP(G20,基础数据表!C:G,2,FALSE)</f>
        <v>电容</v>
      </c>
      <c r="I20" s="8" t="str">
        <f>VLOOKUP(G20,基础数据表!C:G,3,FALSE)</f>
        <v>0.5F</v>
      </c>
      <c r="J20" s="8" t="str">
        <f>VLOOKUP(G20,基础数据表!C:G,4,FALSE)</f>
        <v>支</v>
      </c>
      <c r="K20" s="5">
        <v>263</v>
      </c>
      <c r="L20" s="8">
        <f>K20</f>
        <v>263</v>
      </c>
      <c r="M20" s="8">
        <f>VLOOKUP(G20,基础数据表!C:G,5,FALSE)</f>
        <v>0.55000000000000004</v>
      </c>
      <c r="N20" s="12">
        <f>IF(G20="","",ROUND(L20*M20,2))</f>
        <v>144.65</v>
      </c>
    </row>
    <row r="21" spans="2:14" s="13" customFormat="1" ht="12" outlineLevel="3">
      <c r="B21" s="4"/>
      <c r="C21" s="5"/>
      <c r="D21" s="8"/>
      <c r="E21" s="8"/>
      <c r="F21" s="8"/>
      <c r="G21" s="8"/>
      <c r="H21" s="14" t="s">
        <v>77</v>
      </c>
      <c r="I21" s="8"/>
      <c r="J21" s="8"/>
      <c r="K21" s="5"/>
      <c r="L21" s="8">
        <f>SUBTOTAL(9,L17:L20)</f>
        <v>1273</v>
      </c>
      <c r="M21" s="8"/>
      <c r="N21" s="12">
        <f>SUBTOTAL(9,N17:N20)</f>
        <v>969.65</v>
      </c>
    </row>
    <row r="22" spans="2:14" s="13" customFormat="1" ht="12" outlineLevel="4">
      <c r="B22" s="4">
        <v>6</v>
      </c>
      <c r="C22" s="5">
        <v>25</v>
      </c>
      <c r="D22" s="8" t="s">
        <v>111</v>
      </c>
      <c r="E22" s="8" t="s">
        <v>81</v>
      </c>
      <c r="F22" s="8">
        <v>2012060001</v>
      </c>
      <c r="G22" s="8" t="s">
        <v>70</v>
      </c>
      <c r="H22" s="8" t="str">
        <f>VLOOKUP(G22,基础数据表!C:G,2,FALSE)</f>
        <v>集成块</v>
      </c>
      <c r="I22" s="8" t="str">
        <f>VLOOKUP(G22,基础数据表!C:G,3,FALSE)</f>
        <v>AEu8145</v>
      </c>
      <c r="J22" s="8" t="str">
        <f>VLOOKUP(G22,基础数据表!C:G,4,FALSE)</f>
        <v>支</v>
      </c>
      <c r="K22" s="5">
        <v>65</v>
      </c>
      <c r="L22" s="8">
        <f>K22</f>
        <v>65</v>
      </c>
      <c r="M22" s="8">
        <f>VLOOKUP(G22,基础数据表!C:G,5,FALSE)</f>
        <v>412.5</v>
      </c>
      <c r="N22" s="12">
        <f>IF(G22="","",ROUND(L22*M22,2))</f>
        <v>26812.5</v>
      </c>
    </row>
    <row r="23" spans="2:14" s="13" customFormat="1" ht="12" outlineLevel="3">
      <c r="B23" s="4"/>
      <c r="C23" s="5"/>
      <c r="D23" s="8"/>
      <c r="E23" s="8"/>
      <c r="F23" s="8"/>
      <c r="G23" s="8"/>
      <c r="H23" s="14" t="s">
        <v>78</v>
      </c>
      <c r="I23" s="8"/>
      <c r="J23" s="8"/>
      <c r="K23" s="5"/>
      <c r="L23" s="8">
        <f>SUBTOTAL(9,L22:L22)</f>
        <v>65</v>
      </c>
      <c r="M23" s="8"/>
      <c r="N23" s="12">
        <f>SUBTOTAL(9,N22:N22)</f>
        <v>26812.5</v>
      </c>
    </row>
    <row r="24" spans="2:14" s="13" customFormat="1" ht="12" outlineLevel="2">
      <c r="B24" s="4"/>
      <c r="C24" s="5"/>
      <c r="D24" s="8"/>
      <c r="E24" s="14" t="s">
        <v>137</v>
      </c>
      <c r="F24" s="8"/>
      <c r="G24" s="8"/>
      <c r="H24" s="8"/>
      <c r="I24" s="8"/>
      <c r="J24" s="8"/>
      <c r="K24" s="5"/>
      <c r="L24" s="8">
        <f>SUBTOTAL(9,L17:L22)</f>
        <v>1338</v>
      </c>
      <c r="M24" s="8"/>
      <c r="N24" s="12">
        <f>SUBTOTAL(9,N17:N22)</f>
        <v>27782.15</v>
      </c>
    </row>
    <row r="25" spans="2:14" s="13" customFormat="1" ht="12" outlineLevel="4">
      <c r="B25" s="4">
        <v>6</v>
      </c>
      <c r="C25" s="8">
        <v>5</v>
      </c>
      <c r="D25" s="8" t="s">
        <v>112</v>
      </c>
      <c r="E25" s="8" t="s">
        <v>82</v>
      </c>
      <c r="F25" s="8">
        <v>2012060001</v>
      </c>
      <c r="G25" s="8" t="s">
        <v>47</v>
      </c>
      <c r="H25" s="8" t="str">
        <f>VLOOKUP(G25,基础数据表!C:G,2,FALSE)</f>
        <v>电容</v>
      </c>
      <c r="I25" s="8" t="str">
        <f>VLOOKUP(G25,基础数据表!C:G,3,FALSE)</f>
        <v>18F</v>
      </c>
      <c r="J25" s="8" t="str">
        <f>VLOOKUP(G25,基础数据表!C:G,4,FALSE)</f>
        <v>支</v>
      </c>
      <c r="K25" s="8">
        <v>100</v>
      </c>
      <c r="L25" s="8">
        <v>120</v>
      </c>
      <c r="M25" s="8">
        <f>VLOOKUP(G25,基础数据表!C:G,5,FALSE)</f>
        <v>0.65</v>
      </c>
      <c r="N25" s="12">
        <f>IF(G25="","",ROUND(L25*M25,2))</f>
        <v>78</v>
      </c>
    </row>
    <row r="26" spans="2:14" s="13" customFormat="1" ht="12" outlineLevel="4">
      <c r="B26" s="4">
        <v>6</v>
      </c>
      <c r="C26" s="8">
        <v>10</v>
      </c>
      <c r="D26" s="8" t="s">
        <v>112</v>
      </c>
      <c r="E26" s="8" t="s">
        <v>82</v>
      </c>
      <c r="F26" s="8">
        <v>2012060001</v>
      </c>
      <c r="G26" s="8" t="s">
        <v>51</v>
      </c>
      <c r="H26" s="8" t="str">
        <f>VLOOKUP(G26,基础数据表!C:G,2,FALSE)</f>
        <v>电容</v>
      </c>
      <c r="I26" s="8" t="str">
        <f>VLOOKUP(G26,基础数据表!C:G,3,FALSE)</f>
        <v>100F</v>
      </c>
      <c r="J26" s="8" t="str">
        <f>VLOOKUP(G26,基础数据表!C:G,4,FALSE)</f>
        <v>支</v>
      </c>
      <c r="K26" s="8">
        <v>620</v>
      </c>
      <c r="L26" s="8">
        <f>K26</f>
        <v>620</v>
      </c>
      <c r="M26" s="8">
        <f>VLOOKUP(G26,基础数据表!C:G,5,FALSE)</f>
        <v>0.85</v>
      </c>
      <c r="N26" s="12">
        <f>IF(G26="","",ROUND(L26*M26,2))</f>
        <v>527</v>
      </c>
    </row>
    <row r="27" spans="2:14" s="13" customFormat="1" ht="12" outlineLevel="4">
      <c r="B27" s="4">
        <v>6</v>
      </c>
      <c r="C27" s="8">
        <v>10</v>
      </c>
      <c r="D27" s="8" t="s">
        <v>112</v>
      </c>
      <c r="E27" s="8" t="s">
        <v>82</v>
      </c>
      <c r="F27" s="8">
        <v>2012060001</v>
      </c>
      <c r="G27" s="8" t="s">
        <v>55</v>
      </c>
      <c r="H27" s="8" t="str">
        <f>VLOOKUP(G27,基础数据表!C:G,2,FALSE)</f>
        <v>电容</v>
      </c>
      <c r="I27" s="8" t="str">
        <f>VLOOKUP(G27,基础数据表!C:G,3,FALSE)</f>
        <v>0.5F</v>
      </c>
      <c r="J27" s="8" t="str">
        <f>VLOOKUP(G27,基础数据表!C:G,4,FALSE)</f>
        <v>支</v>
      </c>
      <c r="K27" s="8">
        <v>500</v>
      </c>
      <c r="L27" s="8">
        <f>K27</f>
        <v>500</v>
      </c>
      <c r="M27" s="8">
        <f>VLOOKUP(G27,基础数据表!C:G,5,FALSE)</f>
        <v>0.55000000000000004</v>
      </c>
      <c r="N27" s="12">
        <f>IF(G27="","",ROUND(L27*M27,2))</f>
        <v>275</v>
      </c>
    </row>
    <row r="28" spans="2:14" s="13" customFormat="1" ht="12" outlineLevel="3">
      <c r="B28" s="4"/>
      <c r="C28" s="8"/>
      <c r="D28" s="8"/>
      <c r="E28" s="8"/>
      <c r="F28" s="8"/>
      <c r="G28" s="8"/>
      <c r="H28" s="14" t="s">
        <v>77</v>
      </c>
      <c r="I28" s="8"/>
      <c r="J28" s="8"/>
      <c r="K28" s="8"/>
      <c r="L28" s="8">
        <f>SUBTOTAL(9,L25:L27)</f>
        <v>1240</v>
      </c>
      <c r="M28" s="8"/>
      <c r="N28" s="12">
        <f>SUBTOTAL(9,N25:N27)</f>
        <v>880</v>
      </c>
    </row>
    <row r="29" spans="2:14" s="13" customFormat="1" ht="12" outlineLevel="4">
      <c r="B29" s="4">
        <v>6</v>
      </c>
      <c r="C29" s="5">
        <v>25</v>
      </c>
      <c r="D29" s="8" t="s">
        <v>112</v>
      </c>
      <c r="E29" s="8" t="s">
        <v>82</v>
      </c>
      <c r="F29" s="8">
        <v>2012060001</v>
      </c>
      <c r="G29" s="8" t="s">
        <v>113</v>
      </c>
      <c r="H29" s="8" t="str">
        <f>VLOOKUP(G29,基础数据表!C:G,2,FALSE)</f>
        <v>电阻</v>
      </c>
      <c r="I29" s="8" t="str">
        <f>VLOOKUP(G29,基础数据表!C:G,3,FALSE)</f>
        <v>25Ω</v>
      </c>
      <c r="J29" s="8" t="str">
        <f>VLOOKUP(G29,基础数据表!C:G,4,FALSE)</f>
        <v>支</v>
      </c>
      <c r="K29" s="5">
        <v>78</v>
      </c>
      <c r="L29" s="8">
        <f>K29</f>
        <v>78</v>
      </c>
      <c r="M29" s="8">
        <f>VLOOKUP(G29,基础数据表!C:G,5,FALSE)</f>
        <v>0.25</v>
      </c>
      <c r="N29" s="12">
        <f>IF(G29="","",ROUND(L29*M29,2))</f>
        <v>19.5</v>
      </c>
    </row>
    <row r="30" spans="2:14" s="13" customFormat="1" ht="12" outlineLevel="4">
      <c r="B30" s="4">
        <v>6</v>
      </c>
      <c r="C30" s="5">
        <v>28</v>
      </c>
      <c r="D30" s="8" t="s">
        <v>112</v>
      </c>
      <c r="E30" s="8" t="s">
        <v>82</v>
      </c>
      <c r="F30" s="8">
        <v>2012060001</v>
      </c>
      <c r="G30" s="8" t="s">
        <v>34</v>
      </c>
      <c r="H30" s="8" t="str">
        <f>VLOOKUP(G30,基础数据表!C:G,2,FALSE)</f>
        <v>电阻</v>
      </c>
      <c r="I30" s="8" t="str">
        <f>VLOOKUP(G30,基础数据表!C:G,3,FALSE)</f>
        <v>32Ω</v>
      </c>
      <c r="J30" s="8" t="str">
        <f>VLOOKUP(G30,基础数据表!C:G,4,FALSE)</f>
        <v>支</v>
      </c>
      <c r="K30" s="5">
        <v>15</v>
      </c>
      <c r="L30" s="8">
        <f>K30</f>
        <v>15</v>
      </c>
      <c r="M30" s="8">
        <f>VLOOKUP(G30,基础数据表!C:G,5,FALSE)</f>
        <v>0.33</v>
      </c>
      <c r="N30" s="12">
        <f>IF(G30="","",ROUND(L30*M30,2))</f>
        <v>4.95</v>
      </c>
    </row>
    <row r="31" spans="2:14" s="13" customFormat="1" ht="12" outlineLevel="3">
      <c r="B31" s="4"/>
      <c r="C31" s="5"/>
      <c r="D31" s="8"/>
      <c r="E31" s="8"/>
      <c r="F31" s="8"/>
      <c r="G31" s="8"/>
      <c r="H31" s="14" t="s">
        <v>79</v>
      </c>
      <c r="I31" s="8"/>
      <c r="J31" s="8"/>
      <c r="K31" s="5"/>
      <c r="L31" s="8">
        <f>SUBTOTAL(9,L29:L30)</f>
        <v>93</v>
      </c>
      <c r="M31" s="8"/>
      <c r="N31" s="12">
        <f>SUBTOTAL(9,N29:N30)</f>
        <v>24.45</v>
      </c>
    </row>
    <row r="32" spans="2:14" s="13" customFormat="1" ht="12" outlineLevel="4">
      <c r="B32" s="4">
        <v>6</v>
      </c>
      <c r="C32" s="5">
        <v>23</v>
      </c>
      <c r="D32" s="8" t="s">
        <v>112</v>
      </c>
      <c r="E32" s="8" t="s">
        <v>82</v>
      </c>
      <c r="F32" s="8">
        <v>2012060001</v>
      </c>
      <c r="G32" s="8" t="s">
        <v>114</v>
      </c>
      <c r="H32" s="8" t="str">
        <f>VLOOKUP(G32,基础数据表!C:G,2,FALSE)</f>
        <v>集成块</v>
      </c>
      <c r="I32" s="8" t="str">
        <f>VLOOKUP(G32,基础数据表!C:G,3,FALSE)</f>
        <v>AEu8139</v>
      </c>
      <c r="J32" s="8" t="str">
        <f>VLOOKUP(G32,基础数据表!C:G,4,FALSE)</f>
        <v>支</v>
      </c>
      <c r="K32" s="5">
        <v>55</v>
      </c>
      <c r="L32" s="8">
        <f>K32</f>
        <v>55</v>
      </c>
      <c r="M32" s="8">
        <f>VLOOKUP(G32,基础数据表!C:G,5,FALSE)</f>
        <v>58.5</v>
      </c>
      <c r="N32" s="12">
        <f>IF(G32="","",ROUND(L32*M32,2))</f>
        <v>3217.5</v>
      </c>
    </row>
    <row r="33" spans="2:14" s="13" customFormat="1" ht="12" outlineLevel="3">
      <c r="B33" s="4"/>
      <c r="C33" s="5"/>
      <c r="D33" s="8"/>
      <c r="E33" s="8"/>
      <c r="F33" s="8"/>
      <c r="G33" s="8"/>
      <c r="H33" s="14" t="s">
        <v>78</v>
      </c>
      <c r="I33" s="8"/>
      <c r="J33" s="8"/>
      <c r="K33" s="5"/>
      <c r="L33" s="8">
        <f>SUBTOTAL(9,L32:L32)</f>
        <v>55</v>
      </c>
      <c r="M33" s="8"/>
      <c r="N33" s="12">
        <f>SUBTOTAL(9,N32:N32)</f>
        <v>3217.5</v>
      </c>
    </row>
    <row r="34" spans="2:14" s="13" customFormat="1" ht="12" outlineLevel="2">
      <c r="B34" s="4"/>
      <c r="C34" s="5"/>
      <c r="D34" s="8"/>
      <c r="E34" s="14" t="s">
        <v>138</v>
      </c>
      <c r="F34" s="8"/>
      <c r="G34" s="8"/>
      <c r="H34" s="8"/>
      <c r="I34" s="8"/>
      <c r="J34" s="8"/>
      <c r="K34" s="5"/>
      <c r="L34" s="8">
        <f>SUBTOTAL(9,L25:L32)</f>
        <v>1388</v>
      </c>
      <c r="M34" s="8"/>
      <c r="N34" s="12">
        <f>SUBTOTAL(9,N25:N32)</f>
        <v>4121.95</v>
      </c>
    </row>
    <row r="35" spans="2:14" s="13" customFormat="1" ht="12" outlineLevel="4">
      <c r="B35" s="4">
        <v>6</v>
      </c>
      <c r="C35" s="8">
        <v>15</v>
      </c>
      <c r="D35" s="8" t="s">
        <v>115</v>
      </c>
      <c r="E35" s="8" t="s">
        <v>83</v>
      </c>
      <c r="F35" s="8">
        <v>2012060001</v>
      </c>
      <c r="G35" s="8" t="s">
        <v>116</v>
      </c>
      <c r="H35" s="8" t="str">
        <f>VLOOKUP(G35,基础数据表!C:G,2,FALSE)</f>
        <v>电阻</v>
      </c>
      <c r="I35" s="8" t="str">
        <f>VLOOKUP(G35,基础数据表!C:G,3,FALSE)</f>
        <v>25Ω</v>
      </c>
      <c r="J35" s="8" t="str">
        <f>VLOOKUP(G35,基础数据表!C:G,4,FALSE)</f>
        <v>支</v>
      </c>
      <c r="K35" s="8">
        <v>200</v>
      </c>
      <c r="L35" s="8">
        <f t="shared" ref="L35:L40" si="2">K35</f>
        <v>200</v>
      </c>
      <c r="M35" s="8">
        <f>VLOOKUP(G35,基础数据表!C:G,5,FALSE)</f>
        <v>0.25</v>
      </c>
      <c r="N35" s="12">
        <f t="shared" ref="N35:N40" si="3">IF(G35="","",ROUND(L35*M35,2))</f>
        <v>50</v>
      </c>
    </row>
    <row r="36" spans="2:14" s="13" customFormat="1" ht="12" outlineLevel="4">
      <c r="B36" s="4">
        <v>6</v>
      </c>
      <c r="C36" s="8">
        <v>15</v>
      </c>
      <c r="D36" s="8" t="s">
        <v>115</v>
      </c>
      <c r="E36" s="8" t="s">
        <v>83</v>
      </c>
      <c r="F36" s="8">
        <v>2012060001</v>
      </c>
      <c r="G36" s="8" t="s">
        <v>34</v>
      </c>
      <c r="H36" s="8" t="str">
        <f>VLOOKUP(G36,基础数据表!C:G,2,FALSE)</f>
        <v>电阻</v>
      </c>
      <c r="I36" s="8" t="str">
        <f>VLOOKUP(G36,基础数据表!C:G,3,FALSE)</f>
        <v>32Ω</v>
      </c>
      <c r="J36" s="8" t="str">
        <f>VLOOKUP(G36,基础数据表!C:G,4,FALSE)</f>
        <v>支</v>
      </c>
      <c r="K36" s="8">
        <v>200</v>
      </c>
      <c r="L36" s="8">
        <f t="shared" si="2"/>
        <v>200</v>
      </c>
      <c r="M36" s="8">
        <f>VLOOKUP(G36,基础数据表!C:G,5,FALSE)</f>
        <v>0.33</v>
      </c>
      <c r="N36" s="12">
        <f t="shared" si="3"/>
        <v>66</v>
      </c>
    </row>
    <row r="37" spans="2:14" s="13" customFormat="1" ht="12" outlineLevel="4">
      <c r="B37" s="4">
        <v>6</v>
      </c>
      <c r="C37" s="8">
        <v>15</v>
      </c>
      <c r="D37" s="8" t="s">
        <v>115</v>
      </c>
      <c r="E37" s="8" t="s">
        <v>83</v>
      </c>
      <c r="F37" s="8">
        <v>2012060001</v>
      </c>
      <c r="G37" s="8" t="s">
        <v>36</v>
      </c>
      <c r="H37" s="8" t="str">
        <f>VLOOKUP(G37,基础数据表!C:G,2,FALSE)</f>
        <v>电阻</v>
      </c>
      <c r="I37" s="8" t="str">
        <f>VLOOKUP(G37,基础数据表!C:G,3,FALSE)</f>
        <v>100Ω</v>
      </c>
      <c r="J37" s="8" t="str">
        <f>VLOOKUP(G37,基础数据表!C:G,4,FALSE)</f>
        <v>支</v>
      </c>
      <c r="K37" s="8">
        <v>40</v>
      </c>
      <c r="L37" s="8">
        <f t="shared" si="2"/>
        <v>40</v>
      </c>
      <c r="M37" s="8">
        <f>VLOOKUP(G37,基础数据表!C:G,5,FALSE)</f>
        <v>0.57999999999999996</v>
      </c>
      <c r="N37" s="12">
        <f t="shared" si="3"/>
        <v>23.2</v>
      </c>
    </row>
    <row r="38" spans="2:14" s="13" customFormat="1" ht="12" outlineLevel="4">
      <c r="B38" s="4">
        <v>6</v>
      </c>
      <c r="C38" s="8">
        <v>15</v>
      </c>
      <c r="D38" s="8" t="s">
        <v>115</v>
      </c>
      <c r="E38" s="8" t="s">
        <v>83</v>
      </c>
      <c r="F38" s="8">
        <v>2012060001</v>
      </c>
      <c r="G38" s="8" t="s">
        <v>38</v>
      </c>
      <c r="H38" s="8" t="str">
        <f>VLOOKUP(G38,基础数据表!C:G,2,FALSE)</f>
        <v>电阻</v>
      </c>
      <c r="I38" s="8" t="str">
        <f>VLOOKUP(G38,基础数据表!C:G,3,FALSE)</f>
        <v>320Ω</v>
      </c>
      <c r="J38" s="8" t="str">
        <f>VLOOKUP(G38,基础数据表!C:G,4,FALSE)</f>
        <v>支</v>
      </c>
      <c r="K38" s="8">
        <v>80</v>
      </c>
      <c r="L38" s="8">
        <f t="shared" si="2"/>
        <v>80</v>
      </c>
      <c r="M38" s="8">
        <f>VLOOKUP(G38,基础数据表!C:G,5,FALSE)</f>
        <v>0.89</v>
      </c>
      <c r="N38" s="12">
        <f t="shared" si="3"/>
        <v>71.2</v>
      </c>
    </row>
    <row r="39" spans="2:14" s="13" customFormat="1" ht="12" outlineLevel="4">
      <c r="B39" s="4">
        <v>6</v>
      </c>
      <c r="C39" s="5">
        <v>26</v>
      </c>
      <c r="D39" s="8" t="s">
        <v>115</v>
      </c>
      <c r="E39" s="8" t="s">
        <v>83</v>
      </c>
      <c r="F39" s="8">
        <v>2012060001</v>
      </c>
      <c r="G39" s="8" t="s">
        <v>34</v>
      </c>
      <c r="H39" s="8" t="str">
        <f>VLOOKUP(G39,基础数据表!C:G,2,FALSE)</f>
        <v>电阻</v>
      </c>
      <c r="I39" s="8" t="str">
        <f>VLOOKUP(G39,基础数据表!C:G,3,FALSE)</f>
        <v>32Ω</v>
      </c>
      <c r="J39" s="8" t="str">
        <f>VLOOKUP(G39,基础数据表!C:G,4,FALSE)</f>
        <v>支</v>
      </c>
      <c r="K39" s="5">
        <v>52</v>
      </c>
      <c r="L39" s="8">
        <f t="shared" si="2"/>
        <v>52</v>
      </c>
      <c r="M39" s="8">
        <f>VLOOKUP(G39,基础数据表!C:G,5,FALSE)</f>
        <v>0.33</v>
      </c>
      <c r="N39" s="12">
        <f t="shared" si="3"/>
        <v>17.16</v>
      </c>
    </row>
    <row r="40" spans="2:14" s="13" customFormat="1" ht="12" outlineLevel="4">
      <c r="B40" s="4">
        <v>6</v>
      </c>
      <c r="C40" s="5">
        <v>28</v>
      </c>
      <c r="D40" s="8" t="s">
        <v>115</v>
      </c>
      <c r="E40" s="8" t="s">
        <v>83</v>
      </c>
      <c r="F40" s="8">
        <v>2012060001</v>
      </c>
      <c r="G40" s="8" t="s">
        <v>36</v>
      </c>
      <c r="H40" s="8" t="str">
        <f>VLOOKUP(G40,基础数据表!C:G,2,FALSE)</f>
        <v>电阻</v>
      </c>
      <c r="I40" s="8" t="str">
        <f>VLOOKUP(G40,基础数据表!C:G,3,FALSE)</f>
        <v>100Ω</v>
      </c>
      <c r="J40" s="8" t="str">
        <f>VLOOKUP(G40,基础数据表!C:G,4,FALSE)</f>
        <v>支</v>
      </c>
      <c r="K40" s="5">
        <v>10</v>
      </c>
      <c r="L40" s="8">
        <f t="shared" si="2"/>
        <v>10</v>
      </c>
      <c r="M40" s="8">
        <f>VLOOKUP(G40,基础数据表!C:G,5,FALSE)</f>
        <v>0.57999999999999996</v>
      </c>
      <c r="N40" s="12">
        <f t="shared" si="3"/>
        <v>5.8</v>
      </c>
    </row>
    <row r="41" spans="2:14" s="13" customFormat="1" ht="12" outlineLevel="3">
      <c r="B41" s="4"/>
      <c r="C41" s="5"/>
      <c r="D41" s="8"/>
      <c r="E41" s="8"/>
      <c r="F41" s="8"/>
      <c r="G41" s="8"/>
      <c r="H41" s="14" t="s">
        <v>79</v>
      </c>
      <c r="I41" s="8"/>
      <c r="J41" s="8"/>
      <c r="K41" s="5"/>
      <c r="L41" s="8">
        <f>SUBTOTAL(9,L35:L40)</f>
        <v>582</v>
      </c>
      <c r="M41" s="8"/>
      <c r="N41" s="12">
        <f>SUBTOTAL(9,N35:N40)</f>
        <v>233.35999999999999</v>
      </c>
    </row>
    <row r="42" spans="2:14" s="13" customFormat="1" ht="12" outlineLevel="4">
      <c r="B42" s="4">
        <v>6</v>
      </c>
      <c r="C42" s="8">
        <v>10</v>
      </c>
      <c r="D42" s="8" t="s">
        <v>115</v>
      </c>
      <c r="E42" s="8" t="s">
        <v>83</v>
      </c>
      <c r="F42" s="8">
        <v>2012060001</v>
      </c>
      <c r="G42" s="8" t="s">
        <v>57</v>
      </c>
      <c r="H42" s="8" t="str">
        <f>VLOOKUP(G42,基础数据表!C:G,2,FALSE)</f>
        <v>集成块</v>
      </c>
      <c r="I42" s="8" t="str">
        <f>VLOOKUP(G42,基础数据表!C:G,3,FALSE)</f>
        <v>AEu8139</v>
      </c>
      <c r="J42" s="8" t="str">
        <f>VLOOKUP(G42,基础数据表!C:G,4,FALSE)</f>
        <v>支</v>
      </c>
      <c r="K42" s="8">
        <v>300</v>
      </c>
      <c r="L42" s="8">
        <f t="shared" ref="L42:L49" si="4">K42</f>
        <v>300</v>
      </c>
      <c r="M42" s="8">
        <f>VLOOKUP(G42,基础数据表!C:G,5,FALSE)</f>
        <v>58.5</v>
      </c>
      <c r="N42" s="12">
        <f t="shared" ref="N42:N49" si="5">IF(G42="","",ROUND(L42*M42,2))</f>
        <v>17550</v>
      </c>
    </row>
    <row r="43" spans="2:14" s="13" customFormat="1" ht="12" outlineLevel="4">
      <c r="B43" s="4">
        <v>6</v>
      </c>
      <c r="C43" s="8">
        <v>10</v>
      </c>
      <c r="D43" s="8" t="s">
        <v>115</v>
      </c>
      <c r="E43" s="8" t="s">
        <v>83</v>
      </c>
      <c r="F43" s="8">
        <v>2012060001</v>
      </c>
      <c r="G43" s="8" t="s">
        <v>60</v>
      </c>
      <c r="H43" s="8" t="str">
        <f>VLOOKUP(G43,基础数据表!C:G,2,FALSE)</f>
        <v>集成块</v>
      </c>
      <c r="I43" s="8" t="str">
        <f>VLOOKUP(G43,基础数据表!C:G,3,FALSE)</f>
        <v>AEu8120</v>
      </c>
      <c r="J43" s="8" t="str">
        <f>VLOOKUP(G43,基础数据表!C:G,4,FALSE)</f>
        <v>支</v>
      </c>
      <c r="K43" s="8">
        <v>200</v>
      </c>
      <c r="L43" s="8">
        <f t="shared" si="4"/>
        <v>200</v>
      </c>
      <c r="M43" s="8">
        <f>VLOOKUP(G43,基础数据表!C:G,5,FALSE)</f>
        <v>75.599999999999994</v>
      </c>
      <c r="N43" s="12">
        <f t="shared" si="5"/>
        <v>15120</v>
      </c>
    </row>
    <row r="44" spans="2:14" s="13" customFormat="1" ht="12" outlineLevel="4">
      <c r="B44" s="4">
        <v>6</v>
      </c>
      <c r="C44" s="8">
        <v>10</v>
      </c>
      <c r="D44" s="8" t="s">
        <v>115</v>
      </c>
      <c r="E44" s="8" t="s">
        <v>83</v>
      </c>
      <c r="F44" s="8">
        <v>2012060001</v>
      </c>
      <c r="G44" s="8" t="s">
        <v>62</v>
      </c>
      <c r="H44" s="8" t="str">
        <f>VLOOKUP(G44,基础数据表!C:G,2,FALSE)</f>
        <v>集成块</v>
      </c>
      <c r="I44" s="8" t="str">
        <f>VLOOKUP(G44,基础数据表!C:G,3,FALSE)</f>
        <v>AEu8141</v>
      </c>
      <c r="J44" s="8" t="str">
        <f>VLOOKUP(G44,基础数据表!C:G,4,FALSE)</f>
        <v>支</v>
      </c>
      <c r="K44" s="8">
        <v>200</v>
      </c>
      <c r="L44" s="8">
        <f t="shared" si="4"/>
        <v>200</v>
      </c>
      <c r="M44" s="8">
        <f>VLOOKUP(G44,基础数据表!C:G,5,FALSE)</f>
        <v>124.85</v>
      </c>
      <c r="N44" s="12">
        <f t="shared" si="5"/>
        <v>24970</v>
      </c>
    </row>
    <row r="45" spans="2:14" s="13" customFormat="1" ht="12" outlineLevel="4">
      <c r="B45" s="4">
        <v>6</v>
      </c>
      <c r="C45" s="8">
        <v>10</v>
      </c>
      <c r="D45" s="8" t="s">
        <v>115</v>
      </c>
      <c r="E45" s="8" t="s">
        <v>83</v>
      </c>
      <c r="F45" s="8">
        <v>2012060001</v>
      </c>
      <c r="G45" s="8" t="s">
        <v>64</v>
      </c>
      <c r="H45" s="8" t="str">
        <f>VLOOKUP(G45,基础数据表!C:G,2,FALSE)</f>
        <v>集成块</v>
      </c>
      <c r="I45" s="8" t="str">
        <f>VLOOKUP(G45,基础数据表!C:G,3,FALSE)</f>
        <v>AEu8152</v>
      </c>
      <c r="J45" s="8" t="str">
        <f>VLOOKUP(G45,基础数据表!C:G,4,FALSE)</f>
        <v>支</v>
      </c>
      <c r="K45" s="8">
        <v>50</v>
      </c>
      <c r="L45" s="8">
        <f t="shared" si="4"/>
        <v>50</v>
      </c>
      <c r="M45" s="8">
        <f>VLOOKUP(G45,基础数据表!C:G,5,FALSE)</f>
        <v>320</v>
      </c>
      <c r="N45" s="12">
        <f t="shared" si="5"/>
        <v>16000</v>
      </c>
    </row>
    <row r="46" spans="2:14" s="13" customFormat="1" ht="12" outlineLevel="4">
      <c r="B46" s="4">
        <v>6</v>
      </c>
      <c r="C46" s="8">
        <v>12</v>
      </c>
      <c r="D46" s="8" t="s">
        <v>115</v>
      </c>
      <c r="E46" s="8" t="s">
        <v>83</v>
      </c>
      <c r="F46" s="8">
        <v>2012060001</v>
      </c>
      <c r="G46" s="8" t="s">
        <v>66</v>
      </c>
      <c r="H46" s="8" t="str">
        <f>VLOOKUP(G46,基础数据表!C:G,2,FALSE)</f>
        <v>集成块</v>
      </c>
      <c r="I46" s="8" t="str">
        <f>VLOOKUP(G46,基础数据表!C:G,3,FALSE)</f>
        <v>AEu8143</v>
      </c>
      <c r="J46" s="8" t="str">
        <f>VLOOKUP(G46,基础数据表!C:G,4,FALSE)</f>
        <v>支</v>
      </c>
      <c r="K46" s="8">
        <v>15</v>
      </c>
      <c r="L46" s="8">
        <f t="shared" si="4"/>
        <v>15</v>
      </c>
      <c r="M46" s="8">
        <f>VLOOKUP(G46,基础数据表!C:G,5,FALSE)</f>
        <v>70</v>
      </c>
      <c r="N46" s="12">
        <f t="shared" si="5"/>
        <v>1050</v>
      </c>
    </row>
    <row r="47" spans="2:14" s="13" customFormat="1" ht="12" outlineLevel="4">
      <c r="B47" s="4">
        <v>6</v>
      </c>
      <c r="C47" s="8">
        <v>12</v>
      </c>
      <c r="D47" s="8" t="s">
        <v>115</v>
      </c>
      <c r="E47" s="8" t="s">
        <v>83</v>
      </c>
      <c r="F47" s="8">
        <v>2012060001</v>
      </c>
      <c r="G47" s="8" t="s">
        <v>68</v>
      </c>
      <c r="H47" s="8" t="str">
        <f>VLOOKUP(G47,基础数据表!C:G,2,FALSE)</f>
        <v>集成块</v>
      </c>
      <c r="I47" s="8" t="str">
        <f>VLOOKUP(G47,基础数据表!C:G,3,FALSE)</f>
        <v>AEu9144</v>
      </c>
      <c r="J47" s="8" t="str">
        <f>VLOOKUP(G47,基础数据表!C:G,4,FALSE)</f>
        <v>支</v>
      </c>
      <c r="K47" s="8">
        <v>20</v>
      </c>
      <c r="L47" s="8">
        <f t="shared" si="4"/>
        <v>20</v>
      </c>
      <c r="M47" s="8">
        <f>VLOOKUP(G47,基础数据表!C:G,5,FALSE)</f>
        <v>185</v>
      </c>
      <c r="N47" s="12">
        <f t="shared" si="5"/>
        <v>3700</v>
      </c>
    </row>
    <row r="48" spans="2:14" s="13" customFormat="1" ht="12" outlineLevel="4">
      <c r="B48" s="4">
        <v>6</v>
      </c>
      <c r="C48" s="8">
        <v>15</v>
      </c>
      <c r="D48" s="8" t="s">
        <v>115</v>
      </c>
      <c r="E48" s="8" t="s">
        <v>83</v>
      </c>
      <c r="F48" s="8">
        <v>2012060001</v>
      </c>
      <c r="G48" s="8" t="s">
        <v>70</v>
      </c>
      <c r="H48" s="8" t="str">
        <f>VLOOKUP(G48,基础数据表!C:G,2,FALSE)</f>
        <v>集成块</v>
      </c>
      <c r="I48" s="8" t="str">
        <f>VLOOKUP(G48,基础数据表!C:G,3,FALSE)</f>
        <v>AEu8145</v>
      </c>
      <c r="J48" s="8" t="str">
        <f>VLOOKUP(G48,基础数据表!C:G,4,FALSE)</f>
        <v>支</v>
      </c>
      <c r="K48" s="8">
        <v>68</v>
      </c>
      <c r="L48" s="8">
        <f t="shared" si="4"/>
        <v>68</v>
      </c>
      <c r="M48" s="8">
        <f>VLOOKUP(G48,基础数据表!C:G,5,FALSE)</f>
        <v>412.5</v>
      </c>
      <c r="N48" s="12">
        <f t="shared" si="5"/>
        <v>28050</v>
      </c>
    </row>
    <row r="49" spans="2:14" s="13" customFormat="1" ht="12" outlineLevel="4">
      <c r="B49" s="4">
        <v>6</v>
      </c>
      <c r="C49" s="5">
        <v>23</v>
      </c>
      <c r="D49" s="8" t="s">
        <v>115</v>
      </c>
      <c r="E49" s="8" t="s">
        <v>83</v>
      </c>
      <c r="F49" s="8">
        <v>2012060001</v>
      </c>
      <c r="G49" s="8" t="s">
        <v>60</v>
      </c>
      <c r="H49" s="8" t="str">
        <f>VLOOKUP(G49,基础数据表!C:G,2,FALSE)</f>
        <v>集成块</v>
      </c>
      <c r="I49" s="8" t="str">
        <f>VLOOKUP(G49,基础数据表!C:G,3,FALSE)</f>
        <v>AEu8120</v>
      </c>
      <c r="J49" s="8" t="str">
        <f>VLOOKUP(G49,基础数据表!C:G,4,FALSE)</f>
        <v>支</v>
      </c>
      <c r="K49" s="5">
        <v>78</v>
      </c>
      <c r="L49" s="8">
        <f t="shared" si="4"/>
        <v>78</v>
      </c>
      <c r="M49" s="8">
        <f>VLOOKUP(G49,基础数据表!C:G,5,FALSE)</f>
        <v>75.599999999999994</v>
      </c>
      <c r="N49" s="12">
        <f t="shared" si="5"/>
        <v>5896.8</v>
      </c>
    </row>
    <row r="50" spans="2:14" s="13" customFormat="1" ht="12" outlineLevel="3">
      <c r="B50" s="4"/>
      <c r="C50" s="5"/>
      <c r="D50" s="8"/>
      <c r="E50" s="8"/>
      <c r="F50" s="8"/>
      <c r="G50" s="8"/>
      <c r="H50" s="14" t="s">
        <v>78</v>
      </c>
      <c r="I50" s="8"/>
      <c r="J50" s="8"/>
      <c r="K50" s="5"/>
      <c r="L50" s="8">
        <f>SUBTOTAL(9,L42:L49)</f>
        <v>931</v>
      </c>
      <c r="M50" s="8"/>
      <c r="N50" s="12">
        <f>SUBTOTAL(9,N42:N49)</f>
        <v>112336.8</v>
      </c>
    </row>
    <row r="51" spans="2:14" s="13" customFormat="1" ht="12" outlineLevel="2">
      <c r="B51" s="4"/>
      <c r="C51" s="5"/>
      <c r="D51" s="8"/>
      <c r="E51" s="14" t="s">
        <v>139</v>
      </c>
      <c r="F51" s="8"/>
      <c r="G51" s="8"/>
      <c r="H51" s="8"/>
      <c r="I51" s="8"/>
      <c r="J51" s="8"/>
      <c r="K51" s="5"/>
      <c r="L51" s="8">
        <f>SUBTOTAL(9,L35:L49)</f>
        <v>1513</v>
      </c>
      <c r="M51" s="8"/>
      <c r="N51" s="12">
        <f>SUBTOTAL(9,N35:N49)</f>
        <v>112570.16</v>
      </c>
    </row>
    <row r="52" spans="2:14" s="13" customFormat="1" ht="12" outlineLevel="4">
      <c r="B52" s="4">
        <v>6</v>
      </c>
      <c r="C52" s="5">
        <v>19</v>
      </c>
      <c r="D52" s="8" t="s">
        <v>118</v>
      </c>
      <c r="E52" s="8" t="s">
        <v>84</v>
      </c>
      <c r="F52" s="8">
        <v>2012060001</v>
      </c>
      <c r="G52" s="8" t="s">
        <v>47</v>
      </c>
      <c r="H52" s="8" t="str">
        <f>VLOOKUP(G52,基础数据表!C:G,2,FALSE)</f>
        <v>电容</v>
      </c>
      <c r="I52" s="8" t="str">
        <f>VLOOKUP(G52,基础数据表!C:G,3,FALSE)</f>
        <v>18F</v>
      </c>
      <c r="J52" s="8" t="str">
        <f>VLOOKUP(G52,基础数据表!C:G,4,FALSE)</f>
        <v>支</v>
      </c>
      <c r="K52" s="5">
        <v>21</v>
      </c>
      <c r="L52" s="8">
        <f>K52</f>
        <v>21</v>
      </c>
      <c r="M52" s="8">
        <f>VLOOKUP(G52,基础数据表!C:G,5,FALSE)</f>
        <v>0.65</v>
      </c>
      <c r="N52" s="12">
        <f>IF(G52="","",ROUND(L52*M52,2))</f>
        <v>13.65</v>
      </c>
    </row>
    <row r="53" spans="2:14" s="13" customFormat="1" ht="12" outlineLevel="3">
      <c r="B53" s="4"/>
      <c r="C53" s="5"/>
      <c r="D53" s="8"/>
      <c r="E53" s="8"/>
      <c r="F53" s="8"/>
      <c r="G53" s="8"/>
      <c r="H53" s="14" t="s">
        <v>77</v>
      </c>
      <c r="I53" s="8"/>
      <c r="J53" s="8"/>
      <c r="K53" s="5"/>
      <c r="L53" s="8">
        <f>SUBTOTAL(9,L52:L52)</f>
        <v>21</v>
      </c>
      <c r="M53" s="8"/>
      <c r="N53" s="12">
        <f>SUBTOTAL(9,N52:N52)</f>
        <v>13.65</v>
      </c>
    </row>
    <row r="54" spans="2:14" s="13" customFormat="1" ht="12" outlineLevel="4">
      <c r="B54" s="4">
        <v>6</v>
      </c>
      <c r="C54" s="5">
        <v>19</v>
      </c>
      <c r="D54" s="8" t="s">
        <v>118</v>
      </c>
      <c r="E54" s="8" t="s">
        <v>84</v>
      </c>
      <c r="F54" s="8">
        <v>2012060001</v>
      </c>
      <c r="G54" s="8" t="s">
        <v>40</v>
      </c>
      <c r="H54" s="8" t="str">
        <f>VLOOKUP(G54,基础数据表!C:G,2,FALSE)</f>
        <v>电阻</v>
      </c>
      <c r="I54" s="8" t="str">
        <f>VLOOKUP(G54,基础数据表!C:G,3,FALSE)</f>
        <v>29Ω</v>
      </c>
      <c r="J54" s="8" t="str">
        <f>VLOOKUP(G54,基础数据表!C:G,4,FALSE)</f>
        <v>支</v>
      </c>
      <c r="K54" s="5">
        <v>100</v>
      </c>
      <c r="L54" s="8">
        <f>K54</f>
        <v>100</v>
      </c>
      <c r="M54" s="8">
        <f>VLOOKUP(G54,基础数据表!C:G,5,FALSE)</f>
        <v>0.21</v>
      </c>
      <c r="N54" s="12">
        <f>IF(G54="","",ROUND(L54*M54,2))</f>
        <v>21</v>
      </c>
    </row>
    <row r="55" spans="2:14" s="13" customFormat="1" ht="12" outlineLevel="4">
      <c r="B55" s="4">
        <v>6</v>
      </c>
      <c r="C55" s="5">
        <v>28</v>
      </c>
      <c r="D55" s="8" t="s">
        <v>118</v>
      </c>
      <c r="E55" s="8" t="s">
        <v>84</v>
      </c>
      <c r="F55" s="8">
        <v>2012060001</v>
      </c>
      <c r="G55" s="8" t="s">
        <v>36</v>
      </c>
      <c r="H55" s="8" t="str">
        <f>VLOOKUP(G55,基础数据表!C:G,2,FALSE)</f>
        <v>电阻</v>
      </c>
      <c r="I55" s="8" t="str">
        <f>VLOOKUP(G55,基础数据表!C:G,3,FALSE)</f>
        <v>100Ω</v>
      </c>
      <c r="J55" s="8" t="str">
        <f>VLOOKUP(G55,基础数据表!C:G,4,FALSE)</f>
        <v>支</v>
      </c>
      <c r="K55" s="5">
        <v>52</v>
      </c>
      <c r="L55" s="8">
        <f>K55</f>
        <v>52</v>
      </c>
      <c r="M55" s="8">
        <f>VLOOKUP(G55,基础数据表!C:G,5,FALSE)</f>
        <v>0.57999999999999996</v>
      </c>
      <c r="N55" s="12">
        <f>IF(G55="","",ROUND(L55*M55,2))</f>
        <v>30.16</v>
      </c>
    </row>
    <row r="56" spans="2:14" s="13" customFormat="1" ht="12" outlineLevel="3">
      <c r="B56" s="4"/>
      <c r="C56" s="5"/>
      <c r="D56" s="8"/>
      <c r="E56" s="8"/>
      <c r="F56" s="8"/>
      <c r="G56" s="8"/>
      <c r="H56" s="14" t="s">
        <v>79</v>
      </c>
      <c r="I56" s="8"/>
      <c r="J56" s="8"/>
      <c r="K56" s="5"/>
      <c r="L56" s="8">
        <f>SUBTOTAL(9,L54:L55)</f>
        <v>152</v>
      </c>
      <c r="M56" s="8"/>
      <c r="N56" s="12">
        <f>SUBTOTAL(9,N54:N55)</f>
        <v>51.16</v>
      </c>
    </row>
    <row r="57" spans="2:14" s="13" customFormat="1" ht="12" outlineLevel="4">
      <c r="B57" s="4">
        <v>6</v>
      </c>
      <c r="C57" s="5">
        <v>25</v>
      </c>
      <c r="D57" s="8" t="s">
        <v>118</v>
      </c>
      <c r="E57" s="8" t="s">
        <v>84</v>
      </c>
      <c r="F57" s="8">
        <v>2012060001</v>
      </c>
      <c r="G57" s="8" t="s">
        <v>62</v>
      </c>
      <c r="H57" s="8" t="str">
        <f>VLOOKUP(G57,基础数据表!C:G,2,FALSE)</f>
        <v>集成块</v>
      </c>
      <c r="I57" s="8" t="str">
        <f>VLOOKUP(G57,基础数据表!C:G,3,FALSE)</f>
        <v>AEu8141</v>
      </c>
      <c r="J57" s="8" t="str">
        <f>VLOOKUP(G57,基础数据表!C:G,4,FALSE)</f>
        <v>支</v>
      </c>
      <c r="K57" s="5">
        <v>98</v>
      </c>
      <c r="L57" s="8">
        <f>K57</f>
        <v>98</v>
      </c>
      <c r="M57" s="8">
        <f>VLOOKUP(G57,基础数据表!C:G,5,FALSE)</f>
        <v>124.85</v>
      </c>
      <c r="N57" s="12">
        <f>IF(G57="","",ROUND(L57*M57,2))</f>
        <v>12235.3</v>
      </c>
    </row>
    <row r="58" spans="2:14" s="13" customFormat="1" ht="12" outlineLevel="3">
      <c r="B58" s="4"/>
      <c r="C58" s="5"/>
      <c r="D58" s="8"/>
      <c r="E58" s="8"/>
      <c r="F58" s="8"/>
      <c r="G58" s="8"/>
      <c r="H58" s="14" t="s">
        <v>78</v>
      </c>
      <c r="I58" s="8"/>
      <c r="J58" s="8"/>
      <c r="K58" s="5"/>
      <c r="L58" s="8">
        <f>SUBTOTAL(9,L57:L57)</f>
        <v>98</v>
      </c>
      <c r="M58" s="8"/>
      <c r="N58" s="12">
        <f>SUBTOTAL(9,N57:N57)</f>
        <v>12235.3</v>
      </c>
    </row>
    <row r="59" spans="2:14" s="13" customFormat="1" ht="12" outlineLevel="2">
      <c r="B59" s="4"/>
      <c r="C59" s="5"/>
      <c r="D59" s="8"/>
      <c r="E59" s="14" t="s">
        <v>140</v>
      </c>
      <c r="F59" s="8"/>
      <c r="G59" s="8"/>
      <c r="H59" s="8"/>
      <c r="I59" s="8"/>
      <c r="J59" s="8"/>
      <c r="K59" s="5"/>
      <c r="L59" s="8">
        <f>SUBTOTAL(9,L52:L57)</f>
        <v>271</v>
      </c>
      <c r="M59" s="8"/>
      <c r="N59" s="12">
        <f>SUBTOTAL(9,N52:N57)</f>
        <v>12300.109999999999</v>
      </c>
    </row>
    <row r="60" spans="2:14" s="13" customFormat="1" ht="12" outlineLevel="4">
      <c r="B60" s="4">
        <v>6</v>
      </c>
      <c r="C60" s="5">
        <v>19</v>
      </c>
      <c r="D60" s="8" t="s">
        <v>117</v>
      </c>
      <c r="E60" s="8" t="s">
        <v>85</v>
      </c>
      <c r="F60" s="8">
        <v>2012060001</v>
      </c>
      <c r="G60" s="8" t="s">
        <v>49</v>
      </c>
      <c r="H60" s="8" t="str">
        <f>VLOOKUP(G60,基础数据表!C:G,2,FALSE)</f>
        <v>电容</v>
      </c>
      <c r="I60" s="8" t="str">
        <f>VLOOKUP(G60,基础数据表!C:G,3,FALSE)</f>
        <v>50F</v>
      </c>
      <c r="J60" s="8" t="str">
        <f>VLOOKUP(G60,基础数据表!C:G,4,FALSE)</f>
        <v>支</v>
      </c>
      <c r="K60" s="5">
        <v>15</v>
      </c>
      <c r="L60" s="8">
        <f>K60</f>
        <v>15</v>
      </c>
      <c r="M60" s="8">
        <f>VLOOKUP(G60,基础数据表!C:G,5,FALSE)</f>
        <v>0.75</v>
      </c>
      <c r="N60" s="12">
        <f>IF(G60="","",ROUND(L60*M60,2))</f>
        <v>11.25</v>
      </c>
    </row>
    <row r="61" spans="2:14" s="13" customFormat="1" ht="12" outlineLevel="3">
      <c r="B61" s="4"/>
      <c r="C61" s="5"/>
      <c r="D61" s="8"/>
      <c r="E61" s="8"/>
      <c r="F61" s="8"/>
      <c r="G61" s="8"/>
      <c r="H61" s="14" t="s">
        <v>77</v>
      </c>
      <c r="I61" s="8"/>
      <c r="J61" s="8"/>
      <c r="K61" s="5"/>
      <c r="L61" s="8">
        <f>SUBTOTAL(9,L60:L60)</f>
        <v>15</v>
      </c>
      <c r="M61" s="8"/>
      <c r="N61" s="12">
        <f>SUBTOTAL(9,N60:N60)</f>
        <v>11.25</v>
      </c>
    </row>
    <row r="62" spans="2:14" s="13" customFormat="1" ht="12" outlineLevel="4">
      <c r="B62" s="4">
        <v>6</v>
      </c>
      <c r="C62" s="5">
        <v>19</v>
      </c>
      <c r="D62" s="8" t="s">
        <v>117</v>
      </c>
      <c r="E62" s="8" t="s">
        <v>85</v>
      </c>
      <c r="F62" s="8">
        <v>2012060001</v>
      </c>
      <c r="G62" s="8" t="s">
        <v>42</v>
      </c>
      <c r="H62" s="8" t="str">
        <f>VLOOKUP(G62,基础数据表!C:G,2,FALSE)</f>
        <v>电阻</v>
      </c>
      <c r="I62" s="8" t="str">
        <f>VLOOKUP(G62,基础数据表!C:G,3,FALSE)</f>
        <v>30Ω</v>
      </c>
      <c r="J62" s="8" t="str">
        <f>VLOOKUP(G62,基础数据表!C:G,4,FALSE)</f>
        <v>支</v>
      </c>
      <c r="K62" s="5">
        <v>20</v>
      </c>
      <c r="L62" s="8">
        <f>K62</f>
        <v>20</v>
      </c>
      <c r="M62" s="8">
        <f>VLOOKUP(G62,基础数据表!C:G,5,FALSE)</f>
        <v>0.36</v>
      </c>
      <c r="N62" s="12">
        <f>IF(G62="","",ROUND(L62*M62,2))</f>
        <v>7.2</v>
      </c>
    </row>
    <row r="63" spans="2:14" s="13" customFormat="1" ht="12" outlineLevel="4">
      <c r="B63" s="4">
        <v>6</v>
      </c>
      <c r="C63" s="5">
        <v>28</v>
      </c>
      <c r="D63" s="8" t="s">
        <v>117</v>
      </c>
      <c r="E63" s="8" t="s">
        <v>85</v>
      </c>
      <c r="F63" s="8">
        <v>2012060001</v>
      </c>
      <c r="G63" s="8" t="s">
        <v>38</v>
      </c>
      <c r="H63" s="8" t="str">
        <f>VLOOKUP(G63,基础数据表!C:G,2,FALSE)</f>
        <v>电阻</v>
      </c>
      <c r="I63" s="8" t="str">
        <f>VLOOKUP(G63,基础数据表!C:G,3,FALSE)</f>
        <v>320Ω</v>
      </c>
      <c r="J63" s="8" t="str">
        <f>VLOOKUP(G63,基础数据表!C:G,4,FALSE)</f>
        <v>支</v>
      </c>
      <c r="K63" s="5">
        <v>12</v>
      </c>
      <c r="L63" s="8">
        <f>K63</f>
        <v>12</v>
      </c>
      <c r="M63" s="8">
        <f>VLOOKUP(G63,基础数据表!C:G,5,FALSE)</f>
        <v>0.89</v>
      </c>
      <c r="N63" s="12">
        <f>IF(G63="","",ROUND(L63*M63,2))</f>
        <v>10.68</v>
      </c>
    </row>
    <row r="64" spans="2:14" s="13" customFormat="1" ht="12" outlineLevel="3">
      <c r="B64" s="4"/>
      <c r="C64" s="5"/>
      <c r="D64" s="8"/>
      <c r="E64" s="8"/>
      <c r="F64" s="8"/>
      <c r="G64" s="8"/>
      <c r="H64" s="14" t="s">
        <v>79</v>
      </c>
      <c r="I64" s="8"/>
      <c r="J64" s="8"/>
      <c r="K64" s="5"/>
      <c r="L64" s="8">
        <f>SUBTOTAL(9,L62:L63)</f>
        <v>32</v>
      </c>
      <c r="M64" s="8"/>
      <c r="N64" s="12">
        <f>SUBTOTAL(9,N62:N63)</f>
        <v>17.88</v>
      </c>
    </row>
    <row r="65" spans="2:14" s="13" customFormat="1" ht="12" outlineLevel="4">
      <c r="B65" s="4">
        <v>6</v>
      </c>
      <c r="C65" s="5">
        <v>25</v>
      </c>
      <c r="D65" s="8" t="s">
        <v>117</v>
      </c>
      <c r="E65" s="8" t="s">
        <v>85</v>
      </c>
      <c r="F65" s="8">
        <v>2012060001</v>
      </c>
      <c r="G65" s="8" t="s">
        <v>64</v>
      </c>
      <c r="H65" s="8" t="str">
        <f>VLOOKUP(G65,基础数据表!C:G,2,FALSE)</f>
        <v>集成块</v>
      </c>
      <c r="I65" s="8" t="str">
        <f>VLOOKUP(G65,基础数据表!C:G,3,FALSE)</f>
        <v>AEu8152</v>
      </c>
      <c r="J65" s="8" t="str">
        <f>VLOOKUP(G65,基础数据表!C:G,4,FALSE)</f>
        <v>支</v>
      </c>
      <c r="K65" s="5">
        <v>54</v>
      </c>
      <c r="L65" s="8">
        <f>K65</f>
        <v>54</v>
      </c>
      <c r="M65" s="8">
        <f>VLOOKUP(G65,基础数据表!C:G,5,FALSE)</f>
        <v>320</v>
      </c>
      <c r="N65" s="12">
        <f>IF(G65="","",ROUND(L65*M65,2))</f>
        <v>17280</v>
      </c>
    </row>
    <row r="66" spans="2:14" s="13" customFormat="1" ht="12" outlineLevel="3">
      <c r="B66" s="4"/>
      <c r="C66" s="5"/>
      <c r="D66" s="8"/>
      <c r="E66" s="8"/>
      <c r="F66" s="8"/>
      <c r="G66" s="8"/>
      <c r="H66" s="14" t="s">
        <v>78</v>
      </c>
      <c r="I66" s="8"/>
      <c r="J66" s="8"/>
      <c r="K66" s="5"/>
      <c r="L66" s="8">
        <f>SUBTOTAL(9,L65:L65)</f>
        <v>54</v>
      </c>
      <c r="M66" s="8"/>
      <c r="N66" s="12">
        <f>SUBTOTAL(9,N65:N65)</f>
        <v>17280</v>
      </c>
    </row>
    <row r="67" spans="2:14" s="13" customFormat="1" ht="12" outlineLevel="2">
      <c r="B67" s="4"/>
      <c r="C67" s="5"/>
      <c r="D67" s="8"/>
      <c r="E67" s="14" t="s">
        <v>141</v>
      </c>
      <c r="F67" s="8"/>
      <c r="G67" s="8"/>
      <c r="H67" s="8"/>
      <c r="I67" s="8"/>
      <c r="J67" s="8"/>
      <c r="K67" s="5"/>
      <c r="L67" s="8">
        <f>SUBTOTAL(9,L60:L65)</f>
        <v>101</v>
      </c>
      <c r="M67" s="8"/>
      <c r="N67" s="12">
        <f>SUBTOTAL(9,N60:N65)</f>
        <v>17309.13</v>
      </c>
    </row>
    <row r="68" spans="2:14" s="13" customFormat="1" ht="12" outlineLevel="4">
      <c r="B68" s="4">
        <v>6</v>
      </c>
      <c r="C68" s="5">
        <v>19</v>
      </c>
      <c r="D68" s="8" t="s">
        <v>123</v>
      </c>
      <c r="E68" s="8" t="s">
        <v>86</v>
      </c>
      <c r="F68" s="8">
        <v>2012060001</v>
      </c>
      <c r="G68" s="8" t="s">
        <v>124</v>
      </c>
      <c r="H68" s="8" t="str">
        <f>VLOOKUP(G68,基础数据表!C:G,2,FALSE)</f>
        <v>电容</v>
      </c>
      <c r="I68" s="8" t="str">
        <f>VLOOKUP(G68,基础数据表!C:G,3,FALSE)</f>
        <v>10F</v>
      </c>
      <c r="J68" s="8" t="str">
        <f>VLOOKUP(G68,基础数据表!C:G,4,FALSE)</f>
        <v>支</v>
      </c>
      <c r="K68" s="5">
        <v>12</v>
      </c>
      <c r="L68" s="8">
        <f>K68</f>
        <v>12</v>
      </c>
      <c r="M68" s="8">
        <f>VLOOKUP(G68,基础数据表!C:G,5,FALSE)</f>
        <v>0.78</v>
      </c>
      <c r="N68" s="12">
        <f>IF(G68="","",ROUND(L68*M68,2))</f>
        <v>9.36</v>
      </c>
    </row>
    <row r="69" spans="2:14" s="13" customFormat="1" ht="12" outlineLevel="4">
      <c r="B69" s="4">
        <v>6</v>
      </c>
      <c r="C69" s="5">
        <v>19</v>
      </c>
      <c r="D69" s="8" t="s">
        <v>123</v>
      </c>
      <c r="E69" s="8" t="s">
        <v>86</v>
      </c>
      <c r="F69" s="8">
        <v>2012060001</v>
      </c>
      <c r="G69" s="8" t="s">
        <v>51</v>
      </c>
      <c r="H69" s="8" t="str">
        <f>VLOOKUP(G69,基础数据表!C:G,2,FALSE)</f>
        <v>电容</v>
      </c>
      <c r="I69" s="8" t="str">
        <f>VLOOKUP(G69,基础数据表!C:G,3,FALSE)</f>
        <v>100F</v>
      </c>
      <c r="J69" s="8" t="str">
        <f>VLOOKUP(G69,基础数据表!C:G,4,FALSE)</f>
        <v>支</v>
      </c>
      <c r="K69" s="5">
        <v>253</v>
      </c>
      <c r="L69" s="8">
        <f>K69</f>
        <v>253</v>
      </c>
      <c r="M69" s="8">
        <f>VLOOKUP(G69,基础数据表!C:G,5,FALSE)</f>
        <v>0.85</v>
      </c>
      <c r="N69" s="12">
        <f>IF(G69="","",ROUND(L69*M69,2))</f>
        <v>215.05</v>
      </c>
    </row>
    <row r="70" spans="2:14" s="13" customFormat="1" ht="12" outlineLevel="3">
      <c r="B70" s="4"/>
      <c r="C70" s="5"/>
      <c r="D70" s="8"/>
      <c r="E70" s="8"/>
      <c r="F70" s="8"/>
      <c r="G70" s="8"/>
      <c r="H70" s="14" t="s">
        <v>77</v>
      </c>
      <c r="I70" s="8"/>
      <c r="J70" s="8"/>
      <c r="K70" s="5"/>
      <c r="L70" s="8">
        <f>SUBTOTAL(9,L68:L69)</f>
        <v>265</v>
      </c>
      <c r="M70" s="8"/>
      <c r="N70" s="12">
        <f>SUBTOTAL(9,N68:N69)</f>
        <v>224.41000000000003</v>
      </c>
    </row>
    <row r="71" spans="2:14" s="13" customFormat="1" ht="12" outlineLevel="4">
      <c r="B71" s="4">
        <v>6</v>
      </c>
      <c r="C71" s="5">
        <v>28</v>
      </c>
      <c r="D71" s="8" t="s">
        <v>123</v>
      </c>
      <c r="E71" s="8" t="s">
        <v>86</v>
      </c>
      <c r="F71" s="8">
        <v>2012060001</v>
      </c>
      <c r="G71" s="8" t="s">
        <v>125</v>
      </c>
      <c r="H71" s="8" t="str">
        <f>VLOOKUP(G71,基础数据表!C:G,2,FALSE)</f>
        <v>电阻</v>
      </c>
      <c r="I71" s="8" t="str">
        <f>VLOOKUP(G71,基础数据表!C:G,3,FALSE)</f>
        <v>25Ω</v>
      </c>
      <c r="J71" s="8" t="str">
        <f>VLOOKUP(G71,基础数据表!C:G,4,FALSE)</f>
        <v>支</v>
      </c>
      <c r="K71" s="5">
        <v>55</v>
      </c>
      <c r="L71" s="8">
        <f>K71</f>
        <v>55</v>
      </c>
      <c r="M71" s="8">
        <f>VLOOKUP(G71,基础数据表!C:G,5,FALSE)</f>
        <v>0.25</v>
      </c>
      <c r="N71" s="12">
        <f>IF(G71="","",ROUND(L71*M71,2))</f>
        <v>13.75</v>
      </c>
    </row>
    <row r="72" spans="2:14" s="13" customFormat="1" ht="12" outlineLevel="3">
      <c r="B72" s="4"/>
      <c r="C72" s="5"/>
      <c r="D72" s="8"/>
      <c r="E72" s="8"/>
      <c r="F72" s="8"/>
      <c r="G72" s="8"/>
      <c r="H72" s="14" t="s">
        <v>79</v>
      </c>
      <c r="I72" s="8"/>
      <c r="J72" s="8"/>
      <c r="K72" s="5"/>
      <c r="L72" s="8">
        <f>SUBTOTAL(9,L71:L71)</f>
        <v>55</v>
      </c>
      <c r="M72" s="8"/>
      <c r="N72" s="12">
        <f>SUBTOTAL(9,N71:N71)</f>
        <v>13.75</v>
      </c>
    </row>
    <row r="73" spans="2:14" outlineLevel="4">
      <c r="B73" s="4">
        <v>6</v>
      </c>
      <c r="C73" s="5">
        <v>25</v>
      </c>
      <c r="D73" s="8" t="s">
        <v>123</v>
      </c>
      <c r="E73" s="8" t="s">
        <v>86</v>
      </c>
      <c r="F73" s="8">
        <v>2012060001</v>
      </c>
      <c r="G73" s="8" t="s">
        <v>66</v>
      </c>
      <c r="H73" s="8" t="str">
        <f>VLOOKUP(G73,基础数据表!C:G,2,FALSE)</f>
        <v>集成块</v>
      </c>
      <c r="I73" s="8" t="str">
        <f>VLOOKUP(G73,基础数据表!C:G,3,FALSE)</f>
        <v>AEu8143</v>
      </c>
      <c r="J73" s="8" t="str">
        <f>VLOOKUP(G73,基础数据表!C:G,4,FALSE)</f>
        <v>支</v>
      </c>
      <c r="K73" s="5">
        <v>12</v>
      </c>
      <c r="L73" s="8">
        <f>K73</f>
        <v>12</v>
      </c>
      <c r="M73" s="8">
        <f>VLOOKUP(G73,基础数据表!C:G,5,FALSE)</f>
        <v>70</v>
      </c>
      <c r="N73" s="12">
        <f>IF(G73="","",ROUND(L73*M73,2))</f>
        <v>840</v>
      </c>
    </row>
    <row r="74" spans="2:14" outlineLevel="3">
      <c r="B74" s="4"/>
      <c r="C74" s="5"/>
      <c r="D74" s="8"/>
      <c r="E74" s="8"/>
      <c r="F74" s="8"/>
      <c r="G74" s="8"/>
      <c r="H74" s="14" t="s">
        <v>78</v>
      </c>
      <c r="I74" s="8"/>
      <c r="J74" s="8"/>
      <c r="K74" s="5"/>
      <c r="L74" s="8">
        <f>SUBTOTAL(9,L73:L73)</f>
        <v>12</v>
      </c>
      <c r="M74" s="8"/>
      <c r="N74" s="12">
        <f>SUBTOTAL(9,N73:N73)</f>
        <v>840</v>
      </c>
    </row>
    <row r="75" spans="2:14" outlineLevel="2">
      <c r="B75" s="4"/>
      <c r="C75" s="5"/>
      <c r="D75" s="8"/>
      <c r="E75" s="14" t="s">
        <v>142</v>
      </c>
      <c r="F75" s="8"/>
      <c r="G75" s="8"/>
      <c r="H75" s="8"/>
      <c r="I75" s="8"/>
      <c r="J75" s="8"/>
      <c r="K75" s="5"/>
      <c r="L75" s="8">
        <f>SUBTOTAL(9,L68:L73)</f>
        <v>332</v>
      </c>
      <c r="M75" s="8"/>
      <c r="N75" s="12">
        <f>SUBTOTAL(9,N68:N73)</f>
        <v>1078.1600000000001</v>
      </c>
    </row>
    <row r="76" spans="2:14" outlineLevel="3">
      <c r="B76" s="4"/>
      <c r="C76" s="5"/>
      <c r="D76" s="8"/>
      <c r="E76" s="8"/>
      <c r="F76" s="8"/>
      <c r="G76" s="8"/>
      <c r="H76" s="14" t="s">
        <v>78</v>
      </c>
      <c r="I76" s="8"/>
      <c r="J76" s="8"/>
      <c r="K76" s="5">
        <v>24</v>
      </c>
      <c r="L76" s="8"/>
      <c r="M76" s="8"/>
      <c r="N76" s="12"/>
    </row>
    <row r="77" spans="2:14" outlineLevel="2">
      <c r="B77" s="15"/>
      <c r="C77" s="16"/>
      <c r="D77" s="17"/>
      <c r="E77" s="17"/>
      <c r="F77" s="17"/>
      <c r="G77" s="17"/>
      <c r="H77" s="22" t="s">
        <v>143</v>
      </c>
      <c r="I77" s="17"/>
      <c r="J77" s="17"/>
      <c r="K77" s="16"/>
      <c r="L77" s="17">
        <f>SUBTOTAL(9,L76:L76)</f>
        <v>0</v>
      </c>
      <c r="M77" s="17"/>
      <c r="N77" s="18">
        <f>SUBTOTAL(9,N76:N76)</f>
        <v>0</v>
      </c>
    </row>
    <row r="78" spans="2:14" outlineLevel="1">
      <c r="B78" s="15"/>
      <c r="C78" s="16"/>
      <c r="D78" s="17"/>
      <c r="E78" s="22" t="s">
        <v>76</v>
      </c>
      <c r="F78" s="17"/>
      <c r="G78" s="17"/>
      <c r="H78" s="22"/>
      <c r="I78" s="17"/>
      <c r="J78" s="17"/>
      <c r="K78" s="16"/>
      <c r="L78" s="17">
        <f>SUBTOTAL(9,L5:L76)</f>
        <v>20539</v>
      </c>
      <c r="M78" s="17"/>
      <c r="N78" s="18">
        <f>SUBTOTAL(9,N5:N76)</f>
        <v>189177.15999999995</v>
      </c>
    </row>
    <row r="79" spans="2:14" outlineLevel="1">
      <c r="B79" s="15"/>
      <c r="C79" s="16"/>
      <c r="D79" s="17"/>
      <c r="E79" s="22"/>
      <c r="F79" s="17"/>
      <c r="G79" s="17"/>
      <c r="H79" s="22" t="s">
        <v>76</v>
      </c>
      <c r="I79" s="17"/>
      <c r="J79" s="17"/>
      <c r="K79" s="16"/>
      <c r="L79" s="17">
        <f>SUBTOTAL(9,L5:L76)</f>
        <v>20539</v>
      </c>
      <c r="M79" s="17"/>
      <c r="N79" s="18">
        <f>SUBTOTAL(9,N5:N76)</f>
        <v>189177.15999999995</v>
      </c>
    </row>
    <row r="80" spans="2:14" ht="14.25" thickBot="1"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1"/>
    </row>
    <row r="87" spans="4:5">
      <c r="D87" s="10" t="s">
        <v>126</v>
      </c>
      <c r="E87" s="10" t="s">
        <v>127</v>
      </c>
    </row>
    <row r="88" spans="4:5">
      <c r="D88" s="10" t="s">
        <v>128</v>
      </c>
      <c r="E88" s="10" t="s">
        <v>129</v>
      </c>
    </row>
    <row r="89" spans="4:5">
      <c r="D89" s="10" t="s">
        <v>111</v>
      </c>
      <c r="E89" s="10" t="s">
        <v>130</v>
      </c>
    </row>
    <row r="90" spans="4:5">
      <c r="D90" s="10" t="s">
        <v>112</v>
      </c>
      <c r="E90" s="10" t="s">
        <v>131</v>
      </c>
    </row>
    <row r="91" spans="4:5">
      <c r="D91" s="10" t="s">
        <v>115</v>
      </c>
      <c r="E91" s="10" t="s">
        <v>132</v>
      </c>
    </row>
    <row r="92" spans="4:5">
      <c r="D92" s="10" t="s">
        <v>118</v>
      </c>
      <c r="E92" s="10" t="s">
        <v>133</v>
      </c>
    </row>
    <row r="93" spans="4:5">
      <c r="D93" s="10" t="s">
        <v>117</v>
      </c>
      <c r="E93" s="10" t="s">
        <v>134</v>
      </c>
    </row>
    <row r="94" spans="4:5">
      <c r="D94" s="10" t="s">
        <v>123</v>
      </c>
      <c r="E94" s="10" t="s">
        <v>135</v>
      </c>
    </row>
  </sheetData>
  <sortState ref="B5:N50">
    <sortCondition ref="D5"/>
  </sortState>
  <mergeCells count="1">
    <mergeCell ref="B2:N2"/>
  </mergeCells>
  <phoneticPr fontId="7" type="noConversion"/>
  <dataValidations count="2">
    <dataValidation type="list" allowBlank="1" showInputMessage="1" showErrorMessage="1" sqref="E57 E65 E71 E60 E54:E55 E25:E27 E17:E20 E7:E12 E42:E49 E22 E14 E32 E5 E29:E30 E35:E40 E52 E62:E63 E68:E69 E73">
      <formula1>$E$88:$E$94</formula1>
    </dataValidation>
    <dataValidation type="list" allowBlank="1" showInputMessage="1" showErrorMessage="1" sqref="D57 D65 D71 D60 D54:D55 D25:D27 D17:D20 D7:D12 D42:D49 D22 D14 D32 D5 D29:D30 D35:D40 D52 D62:D63 D68:D69 D73">
      <formula1>$D$88:$D$94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基础数据表</vt:lpstr>
      <vt:lpstr>材料出库汇总表</vt:lpstr>
    </vt:vector>
  </TitlesOfParts>
  <Company>雨林木风封装组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Administrator</cp:lastModifiedBy>
  <dcterms:created xsi:type="dcterms:W3CDTF">2012-06-07T09:04:09Z</dcterms:created>
  <dcterms:modified xsi:type="dcterms:W3CDTF">2017-04-20T07:20:01Z</dcterms:modified>
</cp:coreProperties>
</file>